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619e410664cc0d7/Radna površina/polugodišnji izvršenje/"/>
    </mc:Choice>
  </mc:AlternateContent>
  <xr:revisionPtr revIDLastSave="35" documentId="13_ncr:1_{EB932291-A147-4AAB-BABB-733E58BC68D5}" xr6:coauthVersionLast="47" xr6:coauthVersionMax="47" xr10:uidLastSave="{B0CDD130-C378-47C1-B99A-D0CA461B7140}"/>
  <bookViews>
    <workbookView xWindow="-108" yWindow="-108" windowWidth="23256" windowHeight="12456" firstSheet="3" activeTab="5" xr2:uid="{00000000-000D-0000-FFFF-FFFF00000000}"/>
  </bookViews>
  <sheets>
    <sheet name="SAŽETAK" sheetId="1" r:id="rId1"/>
    <sheet name="račun prihoda i rashoda-ekonom" sheetId="3" r:id="rId2"/>
    <sheet name="Račun prihoda i rashoda-izvori" sheetId="11" r:id="rId3"/>
    <sheet name="Rashodi prema funkcijskoj kl" sheetId="5" r:id="rId4"/>
    <sheet name="Račun financiranja" sheetId="6" r:id="rId5"/>
    <sheet name="POSEBNI DIO" sheetId="7" r:id="rId6"/>
    <sheet name="KONTROLNA TABLICA" sheetId="9" r:id="rId7"/>
  </sheets>
  <externalReferences>
    <externalReference r:id="rId8"/>
  </externalReferences>
  <definedNames>
    <definedName name="_xlnm._FilterDatabase" localSheetId="5" hidden="1">'POSEBNI DIO'!$A$18:$U$388</definedName>
    <definedName name="_xlnm._FilterDatabase" localSheetId="1" hidden="1">'račun prihoda i rashoda-ekonom'!$A$88:$T$88</definedName>
    <definedName name="_xlnm.Print_Titles" localSheetId="5">'POSEBNI DIO'!$13:$18</definedName>
    <definedName name="_xlnm.Print_Titles" localSheetId="1">'račun prihoda i rashoda-ekonom'!$13:$18</definedName>
    <definedName name="_xlnm.Print_Titles" localSheetId="2">'Račun prihoda i rashoda-izvori'!$13:$18</definedName>
    <definedName name="_xlnm.Print_Area" localSheetId="6">'KONTROLNA TABLICA'!$A$232:$I$278</definedName>
    <definedName name="_xlnm.Print_Area" localSheetId="5">'POSEBNI DIO'!$A$1:$G$388</definedName>
    <definedName name="_xlnm.Print_Area" localSheetId="1">'račun prihoda i rashoda-ekonom'!$A$1:$I$297</definedName>
    <definedName name="_xlnm.Print_Area" localSheetId="2">'Račun prihoda i rashoda-izvori'!$A$1:$H$86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3" l="1"/>
  <c r="G32" i="3" s="1"/>
  <c r="G277" i="3" l="1"/>
  <c r="F277" i="3"/>
  <c r="F264" i="3"/>
  <c r="G264" i="3"/>
  <c r="G256" i="3"/>
  <c r="F256" i="3"/>
  <c r="G224" i="3"/>
  <c r="F224" i="3"/>
  <c r="G217" i="3"/>
  <c r="F217" i="3"/>
  <c r="G193" i="3"/>
  <c r="F193" i="3"/>
  <c r="G187" i="3"/>
  <c r="F187" i="3"/>
  <c r="G180" i="3"/>
  <c r="F180" i="3"/>
  <c r="G171" i="3"/>
  <c r="F171" i="3"/>
  <c r="G170" i="3"/>
  <c r="F170" i="3"/>
  <c r="G161" i="3"/>
  <c r="F161" i="3"/>
  <c r="G144" i="3"/>
  <c r="F144" i="3"/>
  <c r="G139" i="3"/>
  <c r="F139" i="3"/>
  <c r="G132" i="3"/>
  <c r="F132" i="3"/>
  <c r="G127" i="3"/>
  <c r="F127" i="3"/>
  <c r="G122" i="3"/>
  <c r="F122" i="3"/>
  <c r="G106" i="3"/>
  <c r="F33" i="3" l="1"/>
  <c r="F32" i="3" s="1"/>
  <c r="E139" i="3"/>
  <c r="E32" i="3" l="1"/>
  <c r="E33" i="3"/>
  <c r="E256" i="3" l="1"/>
  <c r="E224" i="3"/>
  <c r="E217" i="3"/>
  <c r="G210" i="3"/>
  <c r="F210" i="3"/>
  <c r="E210" i="3"/>
  <c r="G206" i="3"/>
  <c r="F206" i="3"/>
  <c r="E206" i="3"/>
  <c r="E170" i="3"/>
  <c r="E161" i="3"/>
  <c r="E132" i="3"/>
  <c r="E122" i="3"/>
  <c r="G419" i="7"/>
  <c r="F419" i="7"/>
  <c r="E418" i="7"/>
  <c r="E417" i="7" s="1"/>
  <c r="D418" i="7"/>
  <c r="D417" i="7" s="1"/>
  <c r="D416" i="7" s="1"/>
  <c r="C418" i="7"/>
  <c r="C417" i="7" s="1"/>
  <c r="C416" i="7" s="1"/>
  <c r="G415" i="7"/>
  <c r="F415" i="7"/>
  <c r="E414" i="7"/>
  <c r="D414" i="7"/>
  <c r="D413" i="7" s="1"/>
  <c r="C414" i="7"/>
  <c r="C413" i="7" s="1"/>
  <c r="G412" i="7"/>
  <c r="F412" i="7"/>
  <c r="G411" i="7"/>
  <c r="F411" i="7"/>
  <c r="G410" i="7"/>
  <c r="F410" i="7"/>
  <c r="G409" i="7"/>
  <c r="F409" i="7"/>
  <c r="E408" i="7"/>
  <c r="D408" i="7"/>
  <c r="C408" i="7"/>
  <c r="G407" i="7"/>
  <c r="F407" i="7"/>
  <c r="G406" i="7"/>
  <c r="F406" i="7"/>
  <c r="E404" i="7"/>
  <c r="D404" i="7"/>
  <c r="C404" i="7"/>
  <c r="G403" i="7"/>
  <c r="F403" i="7"/>
  <c r="G402" i="7"/>
  <c r="F402" i="7"/>
  <c r="E401" i="7"/>
  <c r="D401" i="7"/>
  <c r="C401" i="7"/>
  <c r="G400" i="7"/>
  <c r="F400" i="7"/>
  <c r="G399" i="7"/>
  <c r="F399" i="7"/>
  <c r="E398" i="7"/>
  <c r="D398" i="7"/>
  <c r="C398" i="7"/>
  <c r="E393" i="7"/>
  <c r="E392" i="7" s="1"/>
  <c r="D393" i="7"/>
  <c r="D392" i="7" s="1"/>
  <c r="D391" i="7" s="1"/>
  <c r="D390" i="7" s="1"/>
  <c r="C393" i="7"/>
  <c r="C392" i="7" s="1"/>
  <c r="C391" i="7" s="1"/>
  <c r="C390" i="7" s="1"/>
  <c r="G408" i="7" l="1"/>
  <c r="F392" i="7"/>
  <c r="G398" i="7"/>
  <c r="F414" i="7"/>
  <c r="G418" i="7"/>
  <c r="F417" i="7"/>
  <c r="F408" i="7"/>
  <c r="G404" i="7"/>
  <c r="F401" i="7"/>
  <c r="F398" i="7"/>
  <c r="C397" i="7"/>
  <c r="C396" i="7" s="1"/>
  <c r="D397" i="7"/>
  <c r="D396" i="7" s="1"/>
  <c r="D395" i="7" s="1"/>
  <c r="D389" i="7" s="1"/>
  <c r="G392" i="7"/>
  <c r="E397" i="7"/>
  <c r="G401" i="7"/>
  <c r="F404" i="7"/>
  <c r="G414" i="7"/>
  <c r="G417" i="7"/>
  <c r="F418" i="7"/>
  <c r="E391" i="7"/>
  <c r="E413" i="7"/>
  <c r="E416" i="7"/>
  <c r="C395" i="7" l="1"/>
  <c r="C389" i="7" s="1"/>
  <c r="G413" i="7"/>
  <c r="F413" i="7"/>
  <c r="G391" i="7"/>
  <c r="F391" i="7"/>
  <c r="E390" i="7"/>
  <c r="G416" i="7"/>
  <c r="F416" i="7"/>
  <c r="G397" i="7"/>
  <c r="F397" i="7"/>
  <c r="E396" i="7"/>
  <c r="G396" i="7" l="1"/>
  <c r="F396" i="7"/>
  <c r="E395" i="7"/>
  <c r="E389" i="7" s="1"/>
  <c r="G390" i="7"/>
  <c r="F390" i="7"/>
  <c r="F395" i="7" l="1"/>
  <c r="G395" i="7"/>
  <c r="G389" i="7"/>
  <c r="F389" i="7"/>
  <c r="E226" i="3" l="1"/>
  <c r="E151" i="3"/>
  <c r="E172" i="3"/>
  <c r="G172" i="3"/>
  <c r="F172" i="3"/>
  <c r="F86" i="11" l="1"/>
  <c r="F84" i="11"/>
  <c r="E84" i="11"/>
  <c r="D84" i="11"/>
  <c r="E77" i="3"/>
  <c r="F77" i="3"/>
  <c r="G77" i="3"/>
  <c r="H78" i="3"/>
  <c r="I78" i="3"/>
  <c r="H79" i="3"/>
  <c r="I79" i="3"/>
  <c r="H80" i="3"/>
  <c r="I80" i="3"/>
  <c r="H81" i="3"/>
  <c r="I81" i="3"/>
  <c r="F258" i="3"/>
  <c r="G258" i="3"/>
  <c r="E258" i="3"/>
  <c r="H258" i="3" l="1"/>
  <c r="H132" i="3"/>
  <c r="I132" i="3"/>
  <c r="I258" i="3"/>
  <c r="D169" i="7"/>
  <c r="E169" i="7"/>
  <c r="C169" i="7"/>
  <c r="E96" i="7" l="1"/>
  <c r="D309" i="7" l="1"/>
  <c r="F297" i="3"/>
  <c r="E86" i="11" s="1"/>
  <c r="G293" i="3"/>
  <c r="F296" i="3"/>
  <c r="G289" i="3"/>
  <c r="F289" i="3"/>
  <c r="G288" i="3"/>
  <c r="F288" i="3"/>
  <c r="G284" i="3"/>
  <c r="F284" i="3"/>
  <c r="G283" i="3"/>
  <c r="F283" i="3"/>
  <c r="G282" i="3"/>
  <c r="F282" i="3"/>
  <c r="G279" i="3"/>
  <c r="F279" i="3"/>
  <c r="G278" i="3"/>
  <c r="F278" i="3"/>
  <c r="G276" i="3"/>
  <c r="F276" i="3"/>
  <c r="G275" i="3"/>
  <c r="F275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3" i="3"/>
  <c r="F263" i="3"/>
  <c r="G262" i="3"/>
  <c r="F262" i="3"/>
  <c r="G261" i="3"/>
  <c r="F261" i="3"/>
  <c r="G259" i="3"/>
  <c r="G257" i="3" s="1"/>
  <c r="F259" i="3"/>
  <c r="F257" i="3" s="1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3" i="3"/>
  <c r="F243" i="3"/>
  <c r="G242" i="3"/>
  <c r="F242" i="3"/>
  <c r="G238" i="3"/>
  <c r="G237" i="3" s="1"/>
  <c r="G236" i="3" s="1"/>
  <c r="G235" i="3" s="1"/>
  <c r="F238" i="3"/>
  <c r="F237" i="3" s="1"/>
  <c r="F236" i="3" s="1"/>
  <c r="F235" i="3" s="1"/>
  <c r="G234" i="3"/>
  <c r="F234" i="3"/>
  <c r="G233" i="3"/>
  <c r="F233" i="3"/>
  <c r="G231" i="3"/>
  <c r="F231" i="3"/>
  <c r="G230" i="3"/>
  <c r="F230" i="3"/>
  <c r="G226" i="3"/>
  <c r="F226" i="3"/>
  <c r="G225" i="3"/>
  <c r="F225" i="3"/>
  <c r="G223" i="3"/>
  <c r="F223" i="3"/>
  <c r="G222" i="3"/>
  <c r="F222" i="3"/>
  <c r="G221" i="3"/>
  <c r="F221" i="3"/>
  <c r="G219" i="3"/>
  <c r="G218" i="3" s="1"/>
  <c r="F219" i="3"/>
  <c r="F218" i="3" s="1"/>
  <c r="G216" i="3"/>
  <c r="F216" i="3"/>
  <c r="G214" i="3"/>
  <c r="F214" i="3"/>
  <c r="G213" i="3"/>
  <c r="F213" i="3"/>
  <c r="G212" i="3"/>
  <c r="F212" i="3"/>
  <c r="G209" i="3"/>
  <c r="F209" i="3"/>
  <c r="G208" i="3"/>
  <c r="F208" i="3"/>
  <c r="G205" i="3"/>
  <c r="G204" i="3" s="1"/>
  <c r="F205" i="3"/>
  <c r="F204" i="3" s="1"/>
  <c r="G202" i="3"/>
  <c r="F202" i="3"/>
  <c r="G201" i="3"/>
  <c r="F201" i="3"/>
  <c r="G200" i="3"/>
  <c r="F200" i="3"/>
  <c r="G198" i="3"/>
  <c r="F198" i="3"/>
  <c r="G197" i="3"/>
  <c r="F197" i="3"/>
  <c r="G195" i="3"/>
  <c r="F195" i="3"/>
  <c r="G194" i="3"/>
  <c r="F194" i="3"/>
  <c r="G192" i="3"/>
  <c r="F192" i="3"/>
  <c r="G191" i="3"/>
  <c r="F191" i="3"/>
  <c r="G190" i="3"/>
  <c r="F190" i="3"/>
  <c r="G188" i="3"/>
  <c r="F188" i="3"/>
  <c r="G186" i="3"/>
  <c r="F186" i="3"/>
  <c r="G185" i="3"/>
  <c r="F185" i="3"/>
  <c r="G183" i="3"/>
  <c r="F183" i="3"/>
  <c r="G182" i="3"/>
  <c r="F182" i="3"/>
  <c r="G179" i="3"/>
  <c r="F179" i="3"/>
  <c r="G177" i="3"/>
  <c r="F177" i="3"/>
  <c r="G176" i="3"/>
  <c r="F176" i="3"/>
  <c r="G175" i="3"/>
  <c r="F175" i="3"/>
  <c r="G174" i="3"/>
  <c r="F174" i="3"/>
  <c r="G169" i="3"/>
  <c r="F169" i="3"/>
  <c r="G168" i="3"/>
  <c r="F168" i="3"/>
  <c r="G165" i="3"/>
  <c r="G164" i="3" s="1"/>
  <c r="F165" i="3"/>
  <c r="F164" i="3" s="1"/>
  <c r="G163" i="3"/>
  <c r="F163" i="3"/>
  <c r="G162" i="3"/>
  <c r="F162" i="3"/>
  <c r="G160" i="3"/>
  <c r="F160" i="3"/>
  <c r="G159" i="3"/>
  <c r="F159" i="3"/>
  <c r="G158" i="3"/>
  <c r="F158" i="3"/>
  <c r="G156" i="3"/>
  <c r="F156" i="3"/>
  <c r="G155" i="3"/>
  <c r="F155" i="3"/>
  <c r="G154" i="3"/>
  <c r="F154" i="3"/>
  <c r="G153" i="3"/>
  <c r="F153" i="3"/>
  <c r="G150" i="3"/>
  <c r="F150" i="3"/>
  <c r="G149" i="3"/>
  <c r="F149" i="3"/>
  <c r="G147" i="3"/>
  <c r="F147" i="3"/>
  <c r="G146" i="3"/>
  <c r="F146" i="3"/>
  <c r="G145" i="3"/>
  <c r="F145" i="3"/>
  <c r="G143" i="3"/>
  <c r="F143" i="3"/>
  <c r="G141" i="3"/>
  <c r="F141" i="3"/>
  <c r="G140" i="3"/>
  <c r="F140" i="3"/>
  <c r="G138" i="3"/>
  <c r="F138" i="3"/>
  <c r="G137" i="3"/>
  <c r="F137" i="3"/>
  <c r="G136" i="3"/>
  <c r="F136" i="3"/>
  <c r="G135" i="3"/>
  <c r="F135" i="3"/>
  <c r="G131" i="3"/>
  <c r="G130" i="3" s="1"/>
  <c r="F131" i="3"/>
  <c r="F130" i="3" s="1"/>
  <c r="G129" i="3"/>
  <c r="F129" i="3"/>
  <c r="G128" i="3"/>
  <c r="F128" i="3"/>
  <c r="G126" i="3"/>
  <c r="F126" i="3"/>
  <c r="G124" i="3"/>
  <c r="F124" i="3"/>
  <c r="G123" i="3"/>
  <c r="F123" i="3"/>
  <c r="G121" i="3"/>
  <c r="F121" i="3"/>
  <c r="G120" i="3"/>
  <c r="F120" i="3"/>
  <c r="G119" i="3"/>
  <c r="F119" i="3"/>
  <c r="G115" i="3"/>
  <c r="F115" i="3"/>
  <c r="G114" i="3"/>
  <c r="F114" i="3"/>
  <c r="G113" i="3"/>
  <c r="F113" i="3"/>
  <c r="G112" i="3"/>
  <c r="F112" i="3"/>
  <c r="G109" i="3"/>
  <c r="F109" i="3"/>
  <c r="G108" i="3"/>
  <c r="F108" i="3"/>
  <c r="G107" i="3"/>
  <c r="F107" i="3"/>
  <c r="F106" i="3"/>
  <c r="G105" i="3"/>
  <c r="F105" i="3"/>
  <c r="G102" i="3"/>
  <c r="G101" i="3" s="1"/>
  <c r="F102" i="3"/>
  <c r="F101" i="3" s="1"/>
  <c r="G100" i="3"/>
  <c r="G99" i="3" s="1"/>
  <c r="F100" i="3"/>
  <c r="F99" i="3" s="1"/>
  <c r="G98" i="3"/>
  <c r="F98" i="3"/>
  <c r="G97" i="3"/>
  <c r="F97" i="3"/>
  <c r="G96" i="3"/>
  <c r="F96" i="3"/>
  <c r="F95" i="3"/>
  <c r="G94" i="3"/>
  <c r="F94" i="3"/>
  <c r="E37" i="3"/>
  <c r="F37" i="3"/>
  <c r="G37" i="3"/>
  <c r="G36" i="3" s="1"/>
  <c r="G35" i="3" s="1"/>
  <c r="H38" i="3"/>
  <c r="I38" i="3"/>
  <c r="E28" i="11"/>
  <c r="D28" i="11"/>
  <c r="F293" i="3" l="1"/>
  <c r="F68" i="11"/>
  <c r="G259" i="9"/>
  <c r="E68" i="11"/>
  <c r="F259" i="9"/>
  <c r="F247" i="9"/>
  <c r="E64" i="11"/>
  <c r="G247" i="9"/>
  <c r="F64" i="11"/>
  <c r="F251" i="9"/>
  <c r="G251" i="9"/>
  <c r="F255" i="9"/>
  <c r="G255" i="9"/>
  <c r="I37" i="3"/>
  <c r="H37" i="3"/>
  <c r="F292" i="3"/>
  <c r="F291" i="3" s="1"/>
  <c r="F290" i="3" s="1"/>
  <c r="F181" i="3"/>
  <c r="F196" i="3"/>
  <c r="G181" i="3"/>
  <c r="G196" i="3"/>
  <c r="G207" i="3"/>
  <c r="F287" i="3"/>
  <c r="F286" i="3" s="1"/>
  <c r="F285" i="3" s="1"/>
  <c r="G229" i="3"/>
  <c r="G292" i="3"/>
  <c r="G291" i="3" s="1"/>
  <c r="G290" i="3" s="1"/>
  <c r="G241" i="3"/>
  <c r="G240" i="3" s="1"/>
  <c r="G239" i="3" s="1"/>
  <c r="G152" i="3"/>
  <c r="G232" i="3"/>
  <c r="G215" i="3"/>
  <c r="F157" i="3"/>
  <c r="G157" i="3"/>
  <c r="F142" i="3"/>
  <c r="F152" i="3"/>
  <c r="F184" i="3"/>
  <c r="F211" i="3"/>
  <c r="G104" i="3"/>
  <c r="G103" i="3" s="1"/>
  <c r="G260" i="3"/>
  <c r="G111" i="3"/>
  <c r="G110" i="3" s="1"/>
  <c r="G287" i="3"/>
  <c r="G286" i="3" s="1"/>
  <c r="G285" i="3" s="1"/>
  <c r="F178" i="3"/>
  <c r="G281" i="3"/>
  <c r="G280" i="3" s="1"/>
  <c r="G247" i="3"/>
  <c r="G199" i="3"/>
  <c r="G211" i="3"/>
  <c r="G220" i="3"/>
  <c r="F241" i="3"/>
  <c r="F240" i="3" s="1"/>
  <c r="F239" i="3" s="1"/>
  <c r="F229" i="3"/>
  <c r="F215" i="3"/>
  <c r="F93" i="3"/>
  <c r="F92" i="3" s="1"/>
  <c r="G93" i="3"/>
  <c r="G92" i="3" s="1"/>
  <c r="G142" i="3"/>
  <c r="G184" i="3"/>
  <c r="F173" i="3"/>
  <c r="F199" i="3"/>
  <c r="F232" i="3"/>
  <c r="F265" i="3"/>
  <c r="G173" i="3"/>
  <c r="G265" i="3"/>
  <c r="F167" i="3"/>
  <c r="G167" i="3"/>
  <c r="G178" i="3"/>
  <c r="F104" i="3"/>
  <c r="F103" i="3" s="1"/>
  <c r="F118" i="3"/>
  <c r="F125" i="3"/>
  <c r="F134" i="3"/>
  <c r="F148" i="3"/>
  <c r="F189" i="3"/>
  <c r="F281" i="3"/>
  <c r="F280" i="3" s="1"/>
  <c r="G118" i="3"/>
  <c r="G125" i="3"/>
  <c r="G134" i="3"/>
  <c r="G148" i="3"/>
  <c r="F220" i="3"/>
  <c r="F247" i="3"/>
  <c r="F260" i="3"/>
  <c r="F111" i="3"/>
  <c r="F110" i="3" s="1"/>
  <c r="F207" i="3"/>
  <c r="F274" i="3"/>
  <c r="F273" i="3" s="1"/>
  <c r="G189" i="3"/>
  <c r="G274" i="3"/>
  <c r="G273" i="3" s="1"/>
  <c r="F36" i="3"/>
  <c r="F35" i="3" s="1"/>
  <c r="E36" i="3"/>
  <c r="E35" i="3" s="1"/>
  <c r="F75" i="11"/>
  <c r="F71" i="11"/>
  <c r="E71" i="11"/>
  <c r="F70" i="11"/>
  <c r="E70" i="11"/>
  <c r="E160" i="3"/>
  <c r="E143" i="3"/>
  <c r="E138" i="3"/>
  <c r="E97" i="3"/>
  <c r="D70" i="11" s="1"/>
  <c r="D34" i="11"/>
  <c r="E34" i="11"/>
  <c r="F34" i="11"/>
  <c r="C201" i="7"/>
  <c r="F117" i="3" l="1"/>
  <c r="G91" i="3"/>
  <c r="G203" i="3"/>
  <c r="F228" i="3"/>
  <c r="F227" i="3" s="1"/>
  <c r="G228" i="3"/>
  <c r="G227" i="3" s="1"/>
  <c r="G246" i="3"/>
  <c r="G245" i="3" s="1"/>
  <c r="G244" i="3" s="1"/>
  <c r="F166" i="3"/>
  <c r="F246" i="3"/>
  <c r="F245" i="3" s="1"/>
  <c r="F244" i="3" s="1"/>
  <c r="G166" i="3"/>
  <c r="G133" i="3"/>
  <c r="F203" i="3"/>
  <c r="F133" i="3"/>
  <c r="G117" i="3"/>
  <c r="F91" i="3"/>
  <c r="E75" i="11"/>
  <c r="E77" i="11"/>
  <c r="E76" i="11" s="1"/>
  <c r="I139" i="3"/>
  <c r="I143" i="3"/>
  <c r="H143" i="3"/>
  <c r="H138" i="3"/>
  <c r="I138" i="3"/>
  <c r="E72" i="11"/>
  <c r="E69" i="11"/>
  <c r="F62" i="11"/>
  <c r="F77" i="11"/>
  <c r="F76" i="11" s="1"/>
  <c r="F74" i="11"/>
  <c r="F73" i="11" s="1"/>
  <c r="F72" i="11"/>
  <c r="E62" i="11"/>
  <c r="E74" i="11"/>
  <c r="H160" i="3"/>
  <c r="I160" i="3"/>
  <c r="E63" i="11"/>
  <c r="E66" i="11"/>
  <c r="E65" i="11" s="1"/>
  <c r="F61" i="11"/>
  <c r="F63" i="11"/>
  <c r="F66" i="11"/>
  <c r="F65" i="11" s="1"/>
  <c r="I161" i="3"/>
  <c r="E61" i="11"/>
  <c r="F69" i="11"/>
  <c r="I36" i="3"/>
  <c r="H36" i="3"/>
  <c r="H35" i="3"/>
  <c r="I35" i="3"/>
  <c r="I97" i="3"/>
  <c r="H97" i="3"/>
  <c r="G34" i="11"/>
  <c r="H34" i="11"/>
  <c r="E375" i="7"/>
  <c r="E374" i="7" s="1"/>
  <c r="E373" i="7" s="1"/>
  <c r="C375" i="7"/>
  <c r="C374" i="7" s="1"/>
  <c r="C373" i="7" s="1"/>
  <c r="C372" i="7" s="1"/>
  <c r="D375" i="7"/>
  <c r="D374" i="7" s="1"/>
  <c r="D373" i="7" s="1"/>
  <c r="D166" i="7"/>
  <c r="E166" i="7"/>
  <c r="C166" i="7"/>
  <c r="F116" i="3" l="1"/>
  <c r="F90" i="3" s="1"/>
  <c r="G116" i="3"/>
  <c r="G90" i="3" s="1"/>
  <c r="E73" i="11"/>
  <c r="E60" i="11"/>
  <c r="E67" i="11"/>
  <c r="F60" i="11"/>
  <c r="F67" i="11"/>
  <c r="F374" i="7"/>
  <c r="F25" i="11"/>
  <c r="F59" i="11" l="1"/>
  <c r="E59" i="11"/>
  <c r="E372" i="7"/>
  <c r="F373" i="7"/>
  <c r="F28" i="11"/>
  <c r="E173" i="7"/>
  <c r="E246" i="9"/>
  <c r="E248" i="3"/>
  <c r="E288" i="3"/>
  <c r="E320" i="7"/>
  <c r="E319" i="7" s="1"/>
  <c r="D320" i="7"/>
  <c r="D319" i="7" s="1"/>
  <c r="C320" i="7"/>
  <c r="C319" i="7" s="1"/>
  <c r="D271" i="7"/>
  <c r="F372" i="7" l="1"/>
  <c r="G319" i="7"/>
  <c r="F319" i="7"/>
  <c r="D387" i="7"/>
  <c r="D386" i="7" s="1"/>
  <c r="D384" i="7"/>
  <c r="D382" i="7"/>
  <c r="D380" i="7"/>
  <c r="D370" i="7"/>
  <c r="D367" i="7"/>
  <c r="D364" i="7"/>
  <c r="D362" i="7"/>
  <c r="D360" i="7"/>
  <c r="D355" i="7"/>
  <c r="D352" i="7"/>
  <c r="D349" i="7"/>
  <c r="D347" i="7"/>
  <c r="D345" i="7"/>
  <c r="D339" i="7"/>
  <c r="D338" i="7" s="1"/>
  <c r="D336" i="7"/>
  <c r="D334" i="7"/>
  <c r="D331" i="7"/>
  <c r="D325" i="7"/>
  <c r="D324" i="7" s="1"/>
  <c r="D323" i="7" s="1"/>
  <c r="D317" i="7"/>
  <c r="D315" i="7"/>
  <c r="D308" i="7"/>
  <c r="D306" i="7"/>
  <c r="D304" i="7"/>
  <c r="D302" i="7"/>
  <c r="D295" i="7"/>
  <c r="D294" i="7" s="1"/>
  <c r="D293" i="7" s="1"/>
  <c r="D289" i="7"/>
  <c r="D288" i="7" s="1"/>
  <c r="D287" i="7" s="1"/>
  <c r="D284" i="7"/>
  <c r="D283" i="7" s="1"/>
  <c r="D281" i="7"/>
  <c r="D279" i="7"/>
  <c r="D277" i="7"/>
  <c r="D270" i="7"/>
  <c r="D269" i="7" s="1"/>
  <c r="D267" i="7"/>
  <c r="D266" i="7" s="1"/>
  <c r="D265" i="7" s="1"/>
  <c r="D261" i="7"/>
  <c r="D260" i="7" s="1"/>
  <c r="D259" i="7" s="1"/>
  <c r="D258" i="7" s="1"/>
  <c r="D256" i="7"/>
  <c r="D253" i="7"/>
  <c r="D248" i="7"/>
  <c r="D246" i="7"/>
  <c r="D241" i="7"/>
  <c r="D239" i="7"/>
  <c r="D236" i="7"/>
  <c r="D235" i="7" s="1"/>
  <c r="D231" i="7"/>
  <c r="D226" i="7"/>
  <c r="D222" i="7"/>
  <c r="D217" i="7"/>
  <c r="D213" i="7"/>
  <c r="D210" i="7"/>
  <c r="D208" i="7"/>
  <c r="D206" i="7"/>
  <c r="D201" i="7"/>
  <c r="D199" i="7"/>
  <c r="D196" i="7"/>
  <c r="D192" i="7"/>
  <c r="D191" i="7" s="1"/>
  <c r="D189" i="7"/>
  <c r="D188" i="7" s="1"/>
  <c r="D186" i="7"/>
  <c r="D185" i="7" s="1"/>
  <c r="D181" i="7"/>
  <c r="D176" i="7"/>
  <c r="D173" i="7"/>
  <c r="D164" i="7"/>
  <c r="D160" i="7"/>
  <c r="D155" i="7"/>
  <c r="D153" i="7"/>
  <c r="D149" i="7"/>
  <c r="D145" i="7"/>
  <c r="D144" i="7" s="1"/>
  <c r="D142" i="7"/>
  <c r="D141" i="7" s="1"/>
  <c r="D137" i="7"/>
  <c r="D130" i="7"/>
  <c r="D126" i="7"/>
  <c r="D124" i="7"/>
  <c r="D118" i="7"/>
  <c r="D111" i="7"/>
  <c r="D102" i="7"/>
  <c r="D96" i="7"/>
  <c r="D93" i="7"/>
  <c r="D88" i="7"/>
  <c r="D85" i="7"/>
  <c r="D82" i="7"/>
  <c r="D75" i="7"/>
  <c r="D74" i="7" s="1"/>
  <c r="D73" i="7" s="1"/>
  <c r="D71" i="7"/>
  <c r="D66" i="7"/>
  <c r="D56" i="7"/>
  <c r="D55" i="7" s="1"/>
  <c r="D54" i="7" s="1"/>
  <c r="D52" i="7"/>
  <c r="D51" i="7" s="1"/>
  <c r="D50" i="7" s="1"/>
  <c r="D61" i="7"/>
  <c r="D60" i="7" s="1"/>
  <c r="D59" i="7" s="1"/>
  <c r="D58" i="7" s="1"/>
  <c r="D47" i="7"/>
  <c r="D46" i="7" s="1"/>
  <c r="D45" i="7" s="1"/>
  <c r="D44" i="7" s="1"/>
  <c r="D41" i="7"/>
  <c r="D40" i="7" s="1"/>
  <c r="D39" i="7" s="1"/>
  <c r="D37" i="7"/>
  <c r="D35" i="7"/>
  <c r="D33" i="7"/>
  <c r="D31" i="7"/>
  <c r="D24" i="7"/>
  <c r="D23" i="7" s="1"/>
  <c r="D22" i="7" s="1"/>
  <c r="D21" i="7" s="1"/>
  <c r="D20" i="7" s="1"/>
  <c r="E222" i="3"/>
  <c r="E325" i="7"/>
  <c r="C325" i="7"/>
  <c r="E242" i="3"/>
  <c r="E145" i="7"/>
  <c r="E144" i="7" s="1"/>
  <c r="C145" i="7"/>
  <c r="C144" i="7" s="1"/>
  <c r="D65" i="7" l="1"/>
  <c r="D64" i="7" s="1"/>
  <c r="D351" i="7"/>
  <c r="D314" i="7"/>
  <c r="D313" i="7" s="1"/>
  <c r="D312" i="7" s="1"/>
  <c r="D148" i="7"/>
  <c r="D147" i="7" s="1"/>
  <c r="D81" i="7"/>
  <c r="D80" i="7" s="1"/>
  <c r="D79" i="7" s="1"/>
  <c r="D252" i="7"/>
  <c r="D251" i="7" s="1"/>
  <c r="D276" i="7"/>
  <c r="D275" i="7" s="1"/>
  <c r="D274" i="7" s="1"/>
  <c r="D379" i="7"/>
  <c r="D378" i="7" s="1"/>
  <c r="D377" i="7" s="1"/>
  <c r="D344" i="7"/>
  <c r="D330" i="7"/>
  <c r="D329" i="7" s="1"/>
  <c r="D322" i="7" s="1"/>
  <c r="D264" i="7"/>
  <c r="D238" i="7"/>
  <c r="D234" i="7" s="1"/>
  <c r="D225" i="7"/>
  <c r="D224" i="7" s="1"/>
  <c r="D159" i="7"/>
  <c r="D92" i="7"/>
  <c r="D91" i="7" s="1"/>
  <c r="D90" i="7" s="1"/>
  <c r="D63" i="7"/>
  <c r="D366" i="7"/>
  <c r="D359" i="7"/>
  <c r="D301" i="7"/>
  <c r="D300" i="7" s="1"/>
  <c r="D299" i="7" s="1"/>
  <c r="D286" i="7"/>
  <c r="D212" i="7"/>
  <c r="D205" i="7"/>
  <c r="D195" i="7"/>
  <c r="D194" i="7" s="1"/>
  <c r="D168" i="7"/>
  <c r="D123" i="7"/>
  <c r="D122" i="7" s="1"/>
  <c r="D49" i="7"/>
  <c r="D30" i="7"/>
  <c r="D29" i="7" s="1"/>
  <c r="D28" i="7" s="1"/>
  <c r="D27" i="7" s="1"/>
  <c r="H242" i="3"/>
  <c r="I242" i="3"/>
  <c r="G144" i="7"/>
  <c r="F144" i="7"/>
  <c r="G266" i="9"/>
  <c r="F266" i="9"/>
  <c r="E266" i="9"/>
  <c r="G262" i="9"/>
  <c r="F262" i="9"/>
  <c r="E262" i="9"/>
  <c r="G258" i="9"/>
  <c r="F258" i="9"/>
  <c r="E258" i="9"/>
  <c r="G254" i="9"/>
  <c r="F254" i="9"/>
  <c r="E254" i="9"/>
  <c r="G250" i="9"/>
  <c r="F250" i="9"/>
  <c r="E250" i="9"/>
  <c r="G246" i="9"/>
  <c r="F246" i="9"/>
  <c r="D311" i="7" l="1"/>
  <c r="F270" i="9"/>
  <c r="D343" i="7"/>
  <c r="D342" i="7" s="1"/>
  <c r="G374" i="7"/>
  <c r="D121" i="7"/>
  <c r="D43" i="7"/>
  <c r="D233" i="7"/>
  <c r="D158" i="7"/>
  <c r="D157" i="7" s="1"/>
  <c r="D358" i="7"/>
  <c r="D357" i="7" s="1"/>
  <c r="D273" i="7"/>
  <c r="D204" i="7"/>
  <c r="D203" i="7" s="1"/>
  <c r="E26" i="11"/>
  <c r="F51" i="11"/>
  <c r="E38" i="11"/>
  <c r="E32" i="11"/>
  <c r="E36" i="11"/>
  <c r="E135" i="3"/>
  <c r="E185" i="3"/>
  <c r="E126" i="3"/>
  <c r="E119" i="3"/>
  <c r="E112" i="3"/>
  <c r="E105" i="3"/>
  <c r="E94" i="3"/>
  <c r="E355" i="7"/>
  <c r="C355" i="7"/>
  <c r="E352" i="7"/>
  <c r="C352" i="7"/>
  <c r="E349" i="7"/>
  <c r="C349" i="7"/>
  <c r="E347" i="7"/>
  <c r="C347" i="7"/>
  <c r="E345" i="7"/>
  <c r="C345" i="7"/>
  <c r="E331" i="7"/>
  <c r="C331" i="7"/>
  <c r="E282" i="3"/>
  <c r="E249" i="3"/>
  <c r="E336" i="7"/>
  <c r="C336" i="7"/>
  <c r="E268" i="3"/>
  <c r="E262" i="3"/>
  <c r="E295" i="7"/>
  <c r="C295" i="7"/>
  <c r="E297" i="3"/>
  <c r="D86" i="11" s="1"/>
  <c r="E56" i="7"/>
  <c r="E55" i="7" s="1"/>
  <c r="C56" i="7"/>
  <c r="C55" i="7" s="1"/>
  <c r="C54" i="7" s="1"/>
  <c r="F53" i="11"/>
  <c r="E53" i="11"/>
  <c r="F52" i="11"/>
  <c r="E52" i="11"/>
  <c r="E51" i="11"/>
  <c r="F50" i="11"/>
  <c r="E50" i="11"/>
  <c r="F49" i="11"/>
  <c r="E49" i="11"/>
  <c r="F48" i="11"/>
  <c r="E48" i="11"/>
  <c r="F41" i="11"/>
  <c r="F40" i="11" s="1"/>
  <c r="E41" i="11"/>
  <c r="E40" i="11" s="1"/>
  <c r="F39" i="11"/>
  <c r="E39" i="11"/>
  <c r="F38" i="11"/>
  <c r="F36" i="11"/>
  <c r="F35" i="11"/>
  <c r="E35" i="11"/>
  <c r="F33" i="11"/>
  <c r="E33" i="11"/>
  <c r="F32" i="11"/>
  <c r="F30" i="11"/>
  <c r="F29" i="11" s="1"/>
  <c r="E30" i="11"/>
  <c r="E29" i="11" s="1"/>
  <c r="F27" i="11"/>
  <c r="E27" i="11"/>
  <c r="F26" i="11"/>
  <c r="E25" i="11"/>
  <c r="D33" i="11"/>
  <c r="D32" i="11"/>
  <c r="D30" i="11"/>
  <c r="D29" i="11" s="1"/>
  <c r="D27" i="11"/>
  <c r="D26" i="11"/>
  <c r="D25" i="11"/>
  <c r="D41" i="11"/>
  <c r="D40" i="11" s="1"/>
  <c r="D39" i="11"/>
  <c r="D38" i="11"/>
  <c r="D36" i="11"/>
  <c r="D35" i="11"/>
  <c r="D372" i="7" l="1"/>
  <c r="G373" i="7"/>
  <c r="D78" i="7"/>
  <c r="C351" i="7"/>
  <c r="H33" i="11"/>
  <c r="H185" i="3"/>
  <c r="H35" i="11"/>
  <c r="G35" i="11"/>
  <c r="G33" i="11"/>
  <c r="I185" i="3"/>
  <c r="E351" i="7"/>
  <c r="G351" i="7" s="1"/>
  <c r="E24" i="11"/>
  <c r="I268" i="3"/>
  <c r="G352" i="7"/>
  <c r="E344" i="7"/>
  <c r="C344" i="7"/>
  <c r="H249" i="3"/>
  <c r="H282" i="3"/>
  <c r="F352" i="7"/>
  <c r="I282" i="3"/>
  <c r="F37" i="11"/>
  <c r="F24" i="11"/>
  <c r="D37" i="11"/>
  <c r="I249" i="3"/>
  <c r="D24" i="11"/>
  <c r="H262" i="3"/>
  <c r="H268" i="3"/>
  <c r="I262" i="3"/>
  <c r="E47" i="11"/>
  <c r="F47" i="11"/>
  <c r="F31" i="11"/>
  <c r="E37" i="11"/>
  <c r="E31" i="11"/>
  <c r="G55" i="7"/>
  <c r="E54" i="7"/>
  <c r="F55" i="7"/>
  <c r="D31" i="11"/>
  <c r="H38" i="11"/>
  <c r="G38" i="11"/>
  <c r="D53" i="11"/>
  <c r="D52" i="11"/>
  <c r="D51" i="11"/>
  <c r="D50" i="11"/>
  <c r="D49" i="11"/>
  <c r="D48" i="11"/>
  <c r="D341" i="7" l="1"/>
  <c r="G372" i="7"/>
  <c r="C343" i="7"/>
  <c r="C342" i="7" s="1"/>
  <c r="F351" i="7"/>
  <c r="E343" i="7"/>
  <c r="E342" i="7" s="1"/>
  <c r="G342" i="7" s="1"/>
  <c r="E23" i="11"/>
  <c r="F23" i="11"/>
  <c r="D23" i="11"/>
  <c r="G344" i="7"/>
  <c r="F344" i="7"/>
  <c r="D47" i="11"/>
  <c r="G54" i="7"/>
  <c r="F54" i="7"/>
  <c r="H52" i="11"/>
  <c r="G49" i="11"/>
  <c r="G51" i="11"/>
  <c r="H26" i="11"/>
  <c r="H37" i="11"/>
  <c r="H51" i="11"/>
  <c r="H48" i="11"/>
  <c r="H32" i="11"/>
  <c r="G28" i="11"/>
  <c r="H53" i="11"/>
  <c r="G26" i="11"/>
  <c r="H30" i="11"/>
  <c r="H41" i="11"/>
  <c r="G32" i="11"/>
  <c r="G37" i="11"/>
  <c r="G41" i="11"/>
  <c r="H28" i="11"/>
  <c r="H49" i="11"/>
  <c r="H36" i="11"/>
  <c r="G36" i="11"/>
  <c r="G52" i="11"/>
  <c r="G25" i="11"/>
  <c r="H25" i="11"/>
  <c r="H50" i="11"/>
  <c r="G50" i="11"/>
  <c r="G39" i="11"/>
  <c r="G48" i="11"/>
  <c r="G30" i="11"/>
  <c r="H39" i="11"/>
  <c r="G53" i="11"/>
  <c r="E95" i="3"/>
  <c r="E156" i="3"/>
  <c r="E193" i="3"/>
  <c r="E176" i="7"/>
  <c r="C176" i="7"/>
  <c r="E180" i="3"/>
  <c r="E183" i="3"/>
  <c r="D26" i="7" l="1"/>
  <c r="D19" i="7" s="1"/>
  <c r="F342" i="7"/>
  <c r="F343" i="7"/>
  <c r="G343" i="7"/>
  <c r="I156" i="3"/>
  <c r="I193" i="3"/>
  <c r="H183" i="3"/>
  <c r="H156" i="3"/>
  <c r="H31" i="11"/>
  <c r="G31" i="11"/>
  <c r="H193" i="3"/>
  <c r="I180" i="3"/>
  <c r="H180" i="3"/>
  <c r="I183" i="3"/>
  <c r="F85" i="11"/>
  <c r="F83" i="11" s="1"/>
  <c r="E296" i="3"/>
  <c r="E289" i="3"/>
  <c r="E284" i="3"/>
  <c r="E283" i="3"/>
  <c r="E279" i="3"/>
  <c r="E278" i="3"/>
  <c r="E277" i="3"/>
  <c r="E276" i="3"/>
  <c r="E275" i="3"/>
  <c r="E272" i="3"/>
  <c r="E271" i="3"/>
  <c r="E270" i="3"/>
  <c r="E269" i="3"/>
  <c r="E267" i="3"/>
  <c r="E266" i="3"/>
  <c r="E263" i="3"/>
  <c r="E261" i="3"/>
  <c r="E259" i="3"/>
  <c r="E257" i="3" s="1"/>
  <c r="E254" i="3"/>
  <c r="E253" i="3"/>
  <c r="E252" i="3"/>
  <c r="E251" i="3"/>
  <c r="E250" i="3"/>
  <c r="E243" i="3"/>
  <c r="E238" i="3"/>
  <c r="E237" i="3" s="1"/>
  <c r="E236" i="3" s="1"/>
  <c r="E235" i="3" s="1"/>
  <c r="E234" i="3"/>
  <c r="E233" i="3"/>
  <c r="E231" i="3"/>
  <c r="E230" i="3"/>
  <c r="E225" i="3"/>
  <c r="E223" i="3"/>
  <c r="E221" i="3"/>
  <c r="E219" i="3"/>
  <c r="E218" i="3" s="1"/>
  <c r="E216" i="3"/>
  <c r="E214" i="3"/>
  <c r="E213" i="3"/>
  <c r="E212" i="3"/>
  <c r="E209" i="3"/>
  <c r="E208" i="3"/>
  <c r="E205" i="3"/>
  <c r="E204" i="3" s="1"/>
  <c r="E202" i="3"/>
  <c r="E201" i="3"/>
  <c r="E200" i="3"/>
  <c r="E198" i="3"/>
  <c r="E197" i="3"/>
  <c r="E195" i="3"/>
  <c r="E194" i="3"/>
  <c r="E192" i="3"/>
  <c r="E191" i="3"/>
  <c r="E190" i="3"/>
  <c r="E188" i="3"/>
  <c r="E187" i="3"/>
  <c r="E186" i="3"/>
  <c r="E182" i="3"/>
  <c r="E181" i="3" s="1"/>
  <c r="E179" i="3"/>
  <c r="E178" i="3" s="1"/>
  <c r="E176" i="3"/>
  <c r="E175" i="3"/>
  <c r="E174" i="3"/>
  <c r="E171" i="3"/>
  <c r="E169" i="3"/>
  <c r="E168" i="3"/>
  <c r="E165" i="3"/>
  <c r="E164" i="3" s="1"/>
  <c r="E163" i="3"/>
  <c r="E162" i="3"/>
  <c r="H161" i="3"/>
  <c r="E159" i="3"/>
  <c r="E158" i="3"/>
  <c r="E155" i="3"/>
  <c r="E154" i="3"/>
  <c r="E153" i="3"/>
  <c r="E150" i="3"/>
  <c r="E149" i="3"/>
  <c r="E147" i="3"/>
  <c r="E146" i="3"/>
  <c r="E145" i="3"/>
  <c r="D71" i="11" s="1"/>
  <c r="E144" i="3"/>
  <c r="E141" i="3"/>
  <c r="E140" i="3"/>
  <c r="H139" i="3"/>
  <c r="E137" i="3"/>
  <c r="E136" i="3"/>
  <c r="E131" i="3"/>
  <c r="E130" i="3" s="1"/>
  <c r="E129" i="3"/>
  <c r="E128" i="3"/>
  <c r="E127" i="3"/>
  <c r="E124" i="3"/>
  <c r="E123" i="3"/>
  <c r="E121" i="3"/>
  <c r="E120" i="3"/>
  <c r="E115" i="3"/>
  <c r="E114" i="3"/>
  <c r="E113" i="3"/>
  <c r="E109" i="3"/>
  <c r="E108" i="3"/>
  <c r="E107" i="3"/>
  <c r="E106" i="3"/>
  <c r="E102" i="3"/>
  <c r="E101" i="3" s="1"/>
  <c r="E100" i="3"/>
  <c r="E99" i="3" s="1"/>
  <c r="E98" i="3"/>
  <c r="E96" i="3"/>
  <c r="E260" i="3" l="1"/>
  <c r="E247" i="3"/>
  <c r="E207" i="3"/>
  <c r="E152" i="3"/>
  <c r="E148" i="3"/>
  <c r="D85" i="11"/>
  <c r="D83" i="11" s="1"/>
  <c r="E293" i="3"/>
  <c r="E259" i="9"/>
  <c r="E247" i="9"/>
  <c r="D64" i="11"/>
  <c r="D63" i="11" s="1"/>
  <c r="D68" i="11"/>
  <c r="E251" i="9"/>
  <c r="D66" i="11"/>
  <c r="E255" i="9"/>
  <c r="D61" i="11"/>
  <c r="D75" i="11"/>
  <c r="D69" i="11"/>
  <c r="D74" i="11"/>
  <c r="D62" i="11"/>
  <c r="D77" i="11"/>
  <c r="D76" i="11" s="1"/>
  <c r="D72" i="11"/>
  <c r="E142" i="3"/>
  <c r="G70" i="11"/>
  <c r="G248" i="9"/>
  <c r="E287" i="3"/>
  <c r="E286" i="3" s="1"/>
  <c r="E285" i="3" s="1"/>
  <c r="G252" i="9"/>
  <c r="E281" i="3"/>
  <c r="E280" i="3" s="1"/>
  <c r="E241" i="3"/>
  <c r="E240" i="3" s="1"/>
  <c r="E239" i="3" s="1"/>
  <c r="G263" i="9"/>
  <c r="G264" i="9" s="1"/>
  <c r="G267" i="9"/>
  <c r="G268" i="9" s="1"/>
  <c r="G260" i="9"/>
  <c r="E184" i="3"/>
  <c r="E267" i="9"/>
  <c r="E263" i="9"/>
  <c r="G86" i="11"/>
  <c r="H27" i="11"/>
  <c r="G27" i="11"/>
  <c r="H29" i="11"/>
  <c r="G29" i="11"/>
  <c r="E215" i="3"/>
  <c r="E157" i="3"/>
  <c r="E104" i="3"/>
  <c r="E103" i="3" s="1"/>
  <c r="E232" i="3"/>
  <c r="E229" i="3"/>
  <c r="G275" i="9"/>
  <c r="E167" i="3"/>
  <c r="E196" i="3"/>
  <c r="E199" i="3"/>
  <c r="E211" i="3"/>
  <c r="E173" i="3"/>
  <c r="E189" i="3"/>
  <c r="H201" i="3"/>
  <c r="E93" i="3"/>
  <c r="E92" i="3" s="1"/>
  <c r="E265" i="3"/>
  <c r="E274" i="3"/>
  <c r="E273" i="3" s="1"/>
  <c r="E134" i="3"/>
  <c r="E125" i="3"/>
  <c r="E118" i="3"/>
  <c r="E111" i="3"/>
  <c r="E110" i="3" s="1"/>
  <c r="I201" i="3"/>
  <c r="G85" i="11" l="1"/>
  <c r="E117" i="3"/>
  <c r="E166" i="3"/>
  <c r="E133" i="3"/>
  <c r="D73" i="11"/>
  <c r="G69" i="11"/>
  <c r="G71" i="11"/>
  <c r="D60" i="11"/>
  <c r="G62" i="11"/>
  <c r="G83" i="11"/>
  <c r="G68" i="11"/>
  <c r="D67" i="11"/>
  <c r="G61" i="11"/>
  <c r="G72" i="11"/>
  <c r="G64" i="11"/>
  <c r="G77" i="11"/>
  <c r="G75" i="11"/>
  <c r="G74" i="11"/>
  <c r="G24" i="11"/>
  <c r="H24" i="11"/>
  <c r="H40" i="11"/>
  <c r="G40" i="11"/>
  <c r="E246" i="3"/>
  <c r="E245" i="3" s="1"/>
  <c r="E244" i="3" s="1"/>
  <c r="E228" i="3"/>
  <c r="E227" i="3" s="1"/>
  <c r="E91" i="3"/>
  <c r="G73" i="11" l="1"/>
  <c r="G76" i="11"/>
  <c r="G60" i="11"/>
  <c r="G63" i="11"/>
  <c r="G67" i="11"/>
  <c r="H23" i="11"/>
  <c r="G23" i="11"/>
  <c r="H47" i="11"/>
  <c r="G47" i="11"/>
  <c r="I263" i="3"/>
  <c r="H263" i="3"/>
  <c r="H86" i="11"/>
  <c r="E85" i="11"/>
  <c r="E83" i="11" s="1"/>
  <c r="E370" i="7"/>
  <c r="C370" i="7"/>
  <c r="I188" i="3"/>
  <c r="E294" i="7"/>
  <c r="E293" i="7" s="1"/>
  <c r="C294" i="7"/>
  <c r="C293" i="7" s="1"/>
  <c r="H269" i="3"/>
  <c r="E196" i="7"/>
  <c r="C196" i="7"/>
  <c r="C173" i="7"/>
  <c r="H83" i="11" l="1"/>
  <c r="H85" i="11"/>
  <c r="I284" i="3"/>
  <c r="H284" i="3"/>
  <c r="H297" i="3"/>
  <c r="I297" i="3"/>
  <c r="I296" i="3"/>
  <c r="H296" i="3"/>
  <c r="I269" i="3"/>
  <c r="H188" i="3"/>
  <c r="F293" i="7"/>
  <c r="F294" i="7"/>
  <c r="G294" i="7"/>
  <c r="G293" i="7"/>
  <c r="E153" i="7" l="1"/>
  <c r="C153" i="7"/>
  <c r="I276" i="3" l="1"/>
  <c r="H276" i="3"/>
  <c r="I149" i="3" l="1"/>
  <c r="H149" i="3"/>
  <c r="H147" i="3"/>
  <c r="I147" i="3"/>
  <c r="E222" i="7"/>
  <c r="E181" i="7"/>
  <c r="F50" i="3"/>
  <c r="G50" i="3"/>
  <c r="E50" i="3"/>
  <c r="F275" i="9"/>
  <c r="H70" i="11"/>
  <c r="E334" i="7"/>
  <c r="E330" i="7" s="1"/>
  <c r="C334" i="7"/>
  <c r="C330" i="7" s="1"/>
  <c r="E289" i="7"/>
  <c r="C289" i="7"/>
  <c r="E256" i="7"/>
  <c r="C256" i="7"/>
  <c r="E253" i="7"/>
  <c r="C253" i="7"/>
  <c r="E137" i="7"/>
  <c r="C137" i="7"/>
  <c r="H61" i="11" l="1"/>
  <c r="F248" i="9"/>
  <c r="H69" i="11"/>
  <c r="F267" i="9"/>
  <c r="F268" i="9" s="1"/>
  <c r="H75" i="11"/>
  <c r="F263" i="9"/>
  <c r="F264" i="9" s="1"/>
  <c r="H72" i="11"/>
  <c r="H71" i="11"/>
  <c r="F260" i="9"/>
  <c r="I209" i="3"/>
  <c r="C252" i="7"/>
  <c r="H275" i="3"/>
  <c r="I253" i="3"/>
  <c r="E270" i="9"/>
  <c r="E252" i="7"/>
  <c r="H253" i="3"/>
  <c r="H279" i="3"/>
  <c r="H209" i="3"/>
  <c r="F252" i="9" l="1"/>
  <c r="F271" i="9"/>
  <c r="G256" i="9"/>
  <c r="F256" i="9"/>
  <c r="D65" i="11"/>
  <c r="D59" i="11" s="1"/>
  <c r="H73" i="11"/>
  <c r="H74" i="11"/>
  <c r="H63" i="11"/>
  <c r="H64" i="11"/>
  <c r="E220" i="3"/>
  <c r="H67" i="11"/>
  <c r="H68" i="11"/>
  <c r="H76" i="11"/>
  <c r="H77" i="11"/>
  <c r="H62" i="11"/>
  <c r="G270" i="9"/>
  <c r="H192" i="3"/>
  <c r="I192" i="3"/>
  <c r="E203" i="3" l="1"/>
  <c r="E116" i="3" s="1"/>
  <c r="E90" i="3" s="1"/>
  <c r="H60" i="11"/>
  <c r="G66" i="11"/>
  <c r="H66" i="11"/>
  <c r="G271" i="9"/>
  <c r="I275" i="3"/>
  <c r="I279" i="3"/>
  <c r="I250" i="9"/>
  <c r="I254" i="9"/>
  <c r="H258" i="9"/>
  <c r="I258" i="9"/>
  <c r="I262" i="9"/>
  <c r="I266" i="9"/>
  <c r="I246" i="9"/>
  <c r="H246" i="9"/>
  <c r="I170" i="9"/>
  <c r="I164" i="9" s="1"/>
  <c r="I173" i="9" s="1"/>
  <c r="H170" i="9"/>
  <c r="I167" i="9"/>
  <c r="H167" i="9"/>
  <c r="I165" i="9"/>
  <c r="H165" i="9"/>
  <c r="H164" i="9" s="1"/>
  <c r="H173" i="9" s="1"/>
  <c r="I155" i="9"/>
  <c r="H155" i="9"/>
  <c r="H151" i="9" s="1"/>
  <c r="H159" i="9" s="1"/>
  <c r="I152" i="9"/>
  <c r="H152" i="9"/>
  <c r="I142" i="9"/>
  <c r="H142" i="9"/>
  <c r="I138" i="9"/>
  <c r="I135" i="9" s="1"/>
  <c r="I146" i="9" s="1"/>
  <c r="H138" i="9"/>
  <c r="I136" i="9"/>
  <c r="H136" i="9"/>
  <c r="I128" i="9"/>
  <c r="H128" i="9"/>
  <c r="I125" i="9"/>
  <c r="I124" i="9" s="1"/>
  <c r="I130" i="9" s="1"/>
  <c r="H125" i="9"/>
  <c r="I119" i="9"/>
  <c r="H119" i="9"/>
  <c r="I117" i="9"/>
  <c r="H117" i="9"/>
  <c r="H250" i="9"/>
  <c r="H266" i="9"/>
  <c r="H262" i="9"/>
  <c r="H254" i="9"/>
  <c r="D278" i="9"/>
  <c r="C271" i="9"/>
  <c r="C278" i="9"/>
  <c r="D277" i="9"/>
  <c r="C277" i="9"/>
  <c r="D267" i="9"/>
  <c r="C267" i="9"/>
  <c r="D266" i="9"/>
  <c r="C266" i="9"/>
  <c r="D263" i="9"/>
  <c r="C263" i="9"/>
  <c r="D262" i="9"/>
  <c r="D264" i="9" s="1"/>
  <c r="C262" i="9"/>
  <c r="D259" i="9"/>
  <c r="C259" i="9"/>
  <c r="D258" i="9"/>
  <c r="C258" i="9"/>
  <c r="D255" i="9"/>
  <c r="C255" i="9"/>
  <c r="C256" i="9" s="1"/>
  <c r="D254" i="9"/>
  <c r="C254" i="9"/>
  <c r="D251" i="9"/>
  <c r="C251" i="9"/>
  <c r="D250" i="9"/>
  <c r="C250" i="9"/>
  <c r="D247" i="9"/>
  <c r="D271" i="9" s="1"/>
  <c r="C247" i="9"/>
  <c r="D246" i="9"/>
  <c r="D270" i="9" s="1"/>
  <c r="C246" i="9"/>
  <c r="C270" i="9" s="1"/>
  <c r="R237" i="9"/>
  <c r="Q237" i="9"/>
  <c r="G232" i="9"/>
  <c r="G234" i="9" s="1"/>
  <c r="F232" i="9"/>
  <c r="F234" i="9" s="1"/>
  <c r="E232" i="9"/>
  <c r="E234" i="9" s="1"/>
  <c r="S215" i="9"/>
  <c r="R215" i="9"/>
  <c r="Q215" i="9"/>
  <c r="G213" i="9"/>
  <c r="F213" i="9"/>
  <c r="E213" i="9"/>
  <c r="G211" i="9"/>
  <c r="G215" i="9" s="1"/>
  <c r="F211" i="9"/>
  <c r="E211" i="9"/>
  <c r="S205" i="9"/>
  <c r="R205" i="9"/>
  <c r="Q205" i="9"/>
  <c r="G203" i="9"/>
  <c r="G205" i="9" s="1"/>
  <c r="F203" i="9"/>
  <c r="F205" i="9" s="1"/>
  <c r="E203" i="9"/>
  <c r="E205" i="9" s="1"/>
  <c r="S196" i="9"/>
  <c r="R196" i="9"/>
  <c r="Q196" i="9"/>
  <c r="G194" i="9"/>
  <c r="F194" i="9"/>
  <c r="E194" i="9"/>
  <c r="G192" i="9"/>
  <c r="F192" i="9"/>
  <c r="S192" i="9" s="1"/>
  <c r="E192" i="9"/>
  <c r="G189" i="9"/>
  <c r="F189" i="9"/>
  <c r="S189" i="9" s="1"/>
  <c r="E189" i="9"/>
  <c r="S183" i="9"/>
  <c r="R183" i="9"/>
  <c r="Q183" i="9"/>
  <c r="G181" i="9"/>
  <c r="F181" i="9"/>
  <c r="E181" i="9"/>
  <c r="G179" i="9"/>
  <c r="F179" i="9"/>
  <c r="E179" i="9"/>
  <c r="R173" i="9"/>
  <c r="Q173" i="9"/>
  <c r="E172" i="9"/>
  <c r="E171" i="9"/>
  <c r="P170" i="9"/>
  <c r="O170" i="9"/>
  <c r="N170" i="9"/>
  <c r="M170" i="9"/>
  <c r="L170" i="9"/>
  <c r="K170" i="9"/>
  <c r="J170" i="9"/>
  <c r="G170" i="9"/>
  <c r="F170" i="9"/>
  <c r="E169" i="9"/>
  <c r="E168" i="9"/>
  <c r="P167" i="9"/>
  <c r="O167" i="9"/>
  <c r="N167" i="9"/>
  <c r="M167" i="9"/>
  <c r="L167" i="9"/>
  <c r="K167" i="9"/>
  <c r="J167" i="9"/>
  <c r="G167" i="9"/>
  <c r="F167" i="9"/>
  <c r="E166" i="9"/>
  <c r="P165" i="9"/>
  <c r="O165" i="9"/>
  <c r="N165" i="9"/>
  <c r="M165" i="9"/>
  <c r="L165" i="9"/>
  <c r="K165" i="9"/>
  <c r="J165" i="9"/>
  <c r="G165" i="9"/>
  <c r="F165" i="9"/>
  <c r="R159" i="9"/>
  <c r="Q159" i="9"/>
  <c r="E158" i="9"/>
  <c r="E157" i="9"/>
  <c r="E156" i="9"/>
  <c r="P155" i="9"/>
  <c r="O155" i="9"/>
  <c r="N155" i="9"/>
  <c r="M155" i="9"/>
  <c r="L155" i="9"/>
  <c r="K155" i="9"/>
  <c r="J155" i="9"/>
  <c r="G155" i="9"/>
  <c r="G151" i="9" s="1"/>
  <c r="G159" i="9" s="1"/>
  <c r="F155" i="9"/>
  <c r="E154" i="9"/>
  <c r="E153" i="9"/>
  <c r="P152" i="9"/>
  <c r="O152" i="9"/>
  <c r="N152" i="9"/>
  <c r="M152" i="9"/>
  <c r="L152" i="9"/>
  <c r="K152" i="9"/>
  <c r="J152" i="9"/>
  <c r="G152" i="9"/>
  <c r="F152" i="9"/>
  <c r="F151" i="9" s="1"/>
  <c r="E145" i="9"/>
  <c r="E144" i="9"/>
  <c r="E143" i="9"/>
  <c r="P142" i="9"/>
  <c r="O142" i="9"/>
  <c r="N142" i="9"/>
  <c r="M142" i="9"/>
  <c r="L142" i="9"/>
  <c r="K142" i="9"/>
  <c r="J142" i="9"/>
  <c r="G142" i="9"/>
  <c r="F142" i="9"/>
  <c r="E141" i="9"/>
  <c r="E140" i="9"/>
  <c r="E139" i="9"/>
  <c r="P138" i="9"/>
  <c r="O138" i="9"/>
  <c r="N138" i="9"/>
  <c r="M138" i="9"/>
  <c r="L138" i="9"/>
  <c r="K138" i="9"/>
  <c r="J138" i="9"/>
  <c r="G138" i="9"/>
  <c r="F138" i="9"/>
  <c r="E137" i="9"/>
  <c r="P136" i="9"/>
  <c r="O136" i="9"/>
  <c r="N136" i="9"/>
  <c r="M136" i="9"/>
  <c r="L136" i="9"/>
  <c r="K136" i="9"/>
  <c r="J136" i="9"/>
  <c r="J135" i="9" s="1"/>
  <c r="J146" i="9" s="1"/>
  <c r="G136" i="9"/>
  <c r="F136" i="9"/>
  <c r="E129" i="9"/>
  <c r="P128" i="9"/>
  <c r="O128" i="9"/>
  <c r="N128" i="9"/>
  <c r="M128" i="9"/>
  <c r="L128" i="9"/>
  <c r="K128" i="9"/>
  <c r="K124" i="9" s="1"/>
  <c r="K130" i="9" s="1"/>
  <c r="J128" i="9"/>
  <c r="G128" i="9"/>
  <c r="F128" i="9"/>
  <c r="E127" i="9"/>
  <c r="E126" i="9"/>
  <c r="P125" i="9"/>
  <c r="O125" i="9"/>
  <c r="N125" i="9"/>
  <c r="M125" i="9"/>
  <c r="L125" i="9"/>
  <c r="L124" i="9" s="1"/>
  <c r="L130" i="9" s="1"/>
  <c r="K125" i="9"/>
  <c r="J125" i="9"/>
  <c r="G125" i="9"/>
  <c r="F125" i="9"/>
  <c r="J124" i="9"/>
  <c r="J130" i="9" s="1"/>
  <c r="P119" i="9"/>
  <c r="O119" i="9"/>
  <c r="N119" i="9"/>
  <c r="M119" i="9"/>
  <c r="L119" i="9"/>
  <c r="K119" i="9"/>
  <c r="J119" i="9"/>
  <c r="G119" i="9"/>
  <c r="F119" i="9"/>
  <c r="E119" i="9"/>
  <c r="E118" i="9"/>
  <c r="P117" i="9"/>
  <c r="O117" i="9"/>
  <c r="N117" i="9"/>
  <c r="M117" i="9"/>
  <c r="L117" i="9"/>
  <c r="K117" i="9"/>
  <c r="J117" i="9"/>
  <c r="G117" i="9"/>
  <c r="F117" i="9"/>
  <c r="E116" i="9"/>
  <c r="E115" i="9"/>
  <c r="S114" i="9"/>
  <c r="R114" i="9"/>
  <c r="Q114" i="9"/>
  <c r="G111" i="9"/>
  <c r="F111" i="9"/>
  <c r="S111" i="9" s="1"/>
  <c r="E111" i="9"/>
  <c r="E110" i="9"/>
  <c r="E108" i="9" s="1"/>
  <c r="E114" i="9" s="1"/>
  <c r="E222" i="9" s="1"/>
  <c r="G108" i="9"/>
  <c r="F108" i="9"/>
  <c r="S103" i="9"/>
  <c r="R103" i="9"/>
  <c r="Q103" i="9"/>
  <c r="G101" i="9"/>
  <c r="F101" i="9"/>
  <c r="E101" i="9"/>
  <c r="G98" i="9"/>
  <c r="F98" i="9"/>
  <c r="E98" i="9"/>
  <c r="G96" i="9"/>
  <c r="F96" i="9"/>
  <c r="E96" i="9"/>
  <c r="G95" i="9"/>
  <c r="F95" i="9"/>
  <c r="E95" i="9"/>
  <c r="R89" i="9"/>
  <c r="Q89" i="9"/>
  <c r="G89" i="9"/>
  <c r="F89" i="9"/>
  <c r="E89" i="9"/>
  <c r="S84" i="9"/>
  <c r="R84" i="9"/>
  <c r="Q84" i="9"/>
  <c r="G80" i="9"/>
  <c r="F80" i="9"/>
  <c r="E80" i="9"/>
  <c r="G78" i="9"/>
  <c r="F78" i="9"/>
  <c r="E78" i="9"/>
  <c r="R75" i="9"/>
  <c r="Q75" i="9"/>
  <c r="G75" i="9"/>
  <c r="F75" i="9"/>
  <c r="E75" i="9"/>
  <c r="S70" i="9"/>
  <c r="R70" i="9"/>
  <c r="Q70" i="9"/>
  <c r="G67" i="9"/>
  <c r="F67" i="9"/>
  <c r="S67" i="9" s="1"/>
  <c r="E67" i="9"/>
  <c r="G65" i="9"/>
  <c r="F65" i="9"/>
  <c r="E65" i="9"/>
  <c r="G63" i="9"/>
  <c r="F63" i="9"/>
  <c r="E63" i="9"/>
  <c r="G49" i="9"/>
  <c r="G52" i="9" s="1"/>
  <c r="F49" i="9"/>
  <c r="F52" i="9" s="1"/>
  <c r="E49" i="9"/>
  <c r="E52" i="9" s="1"/>
  <c r="E44" i="9"/>
  <c r="G42" i="9"/>
  <c r="G44" i="9" s="1"/>
  <c r="F42" i="9"/>
  <c r="F44" i="9" s="1"/>
  <c r="E42" i="9"/>
  <c r="G33" i="9"/>
  <c r="G37" i="9" s="1"/>
  <c r="F33" i="9"/>
  <c r="F37" i="9" s="1"/>
  <c r="E33" i="9"/>
  <c r="E37" i="9" s="1"/>
  <c r="G26" i="9"/>
  <c r="F26" i="9"/>
  <c r="F28" i="9" s="1"/>
  <c r="E26" i="9"/>
  <c r="G24" i="9"/>
  <c r="F24" i="9"/>
  <c r="E24" i="9"/>
  <c r="E28" i="9" s="1"/>
  <c r="G19" i="9"/>
  <c r="G17" i="9"/>
  <c r="F17" i="9"/>
  <c r="E17" i="9"/>
  <c r="G15" i="9"/>
  <c r="F15" i="9"/>
  <c r="F19" i="9" s="1"/>
  <c r="E15" i="9"/>
  <c r="G7" i="9"/>
  <c r="G10" i="9" s="1"/>
  <c r="F7" i="9"/>
  <c r="F10" i="9" s="1"/>
  <c r="E7" i="9"/>
  <c r="E10" i="9" s="1"/>
  <c r="H135" i="9" l="1"/>
  <c r="H146" i="9" s="1"/>
  <c r="S75" i="9"/>
  <c r="M124" i="9"/>
  <c r="M130" i="9" s="1"/>
  <c r="F164" i="9"/>
  <c r="D260" i="9"/>
  <c r="J151" i="9"/>
  <c r="J159" i="9" s="1"/>
  <c r="F215" i="9"/>
  <c r="E183" i="9"/>
  <c r="E223" i="9" s="1"/>
  <c r="E19" i="9"/>
  <c r="K164" i="9"/>
  <c r="K173" i="9" s="1"/>
  <c r="C264" i="9"/>
  <c r="H65" i="11"/>
  <c r="G65" i="11"/>
  <c r="I270" i="9"/>
  <c r="H124" i="9"/>
  <c r="H130" i="9" s="1"/>
  <c r="I151" i="9"/>
  <c r="I159" i="9" s="1"/>
  <c r="K135" i="9"/>
  <c r="K146" i="9" s="1"/>
  <c r="J164" i="9"/>
  <c r="J173" i="9" s="1"/>
  <c r="D268" i="9"/>
  <c r="L135" i="9"/>
  <c r="L146" i="9" s="1"/>
  <c r="N151" i="9"/>
  <c r="N159" i="9" s="1"/>
  <c r="G124" i="9"/>
  <c r="G130" i="9" s="1"/>
  <c r="F84" i="9"/>
  <c r="F219" i="9" s="1"/>
  <c r="M135" i="9"/>
  <c r="M146" i="9" s="1"/>
  <c r="F93" i="9"/>
  <c r="S108" i="9"/>
  <c r="S78" i="9"/>
  <c r="E70" i="9"/>
  <c r="E218" i="9" s="1"/>
  <c r="N124" i="9"/>
  <c r="N130" i="9" s="1"/>
  <c r="D252" i="9"/>
  <c r="D274" i="9" s="1"/>
  <c r="F70" i="9"/>
  <c r="M151" i="9"/>
  <c r="M159" i="9" s="1"/>
  <c r="G183" i="9"/>
  <c r="G223" i="9" s="1"/>
  <c r="G196" i="9"/>
  <c r="F114" i="9"/>
  <c r="F222" i="9" s="1"/>
  <c r="G164" i="9"/>
  <c r="G173" i="9" s="1"/>
  <c r="D256" i="9"/>
  <c r="F124" i="9"/>
  <c r="L151" i="9"/>
  <c r="L159" i="9" s="1"/>
  <c r="N135" i="9"/>
  <c r="N146" i="9" s="1"/>
  <c r="H270" i="9"/>
  <c r="E93" i="9"/>
  <c r="F183" i="9"/>
  <c r="F223" i="9" s="1"/>
  <c r="C268" i="9"/>
  <c r="E84" i="9"/>
  <c r="E219" i="9" s="1"/>
  <c r="G70" i="9"/>
  <c r="G218" i="9" s="1"/>
  <c r="G114" i="9"/>
  <c r="G222" i="9" s="1"/>
  <c r="E138" i="9"/>
  <c r="E142" i="9"/>
  <c r="M164" i="9"/>
  <c r="M173" i="9" s="1"/>
  <c r="S63" i="9"/>
  <c r="G93" i="9"/>
  <c r="G103" i="9" s="1"/>
  <c r="G220" i="9" s="1"/>
  <c r="E128" i="9"/>
  <c r="G135" i="9"/>
  <c r="G146" i="9" s="1"/>
  <c r="L164" i="9"/>
  <c r="L173" i="9" s="1"/>
  <c r="S181" i="9"/>
  <c r="C248" i="9"/>
  <c r="C275" i="9" s="1"/>
  <c r="E117" i="9"/>
  <c r="E125" i="9"/>
  <c r="E136" i="9"/>
  <c r="S65" i="9"/>
  <c r="F103" i="9"/>
  <c r="F220" i="9" s="1"/>
  <c r="S98" i="9"/>
  <c r="E155" i="9"/>
  <c r="N164" i="9"/>
  <c r="N173" i="9" s="1"/>
  <c r="E215" i="9"/>
  <c r="D248" i="9"/>
  <c r="D275" i="9" s="1"/>
  <c r="C252" i="9"/>
  <c r="C274" i="9" s="1"/>
  <c r="E170" i="9"/>
  <c r="E196" i="9"/>
  <c r="S179" i="9"/>
  <c r="G28" i="9"/>
  <c r="G54" i="9" s="1"/>
  <c r="K151" i="9"/>
  <c r="K159" i="9" s="1"/>
  <c r="E167" i="9"/>
  <c r="C260" i="9"/>
  <c r="F173" i="9"/>
  <c r="F218" i="9"/>
  <c r="G221" i="9"/>
  <c r="E103" i="9"/>
  <c r="E220" i="9" s="1"/>
  <c r="E54" i="9"/>
  <c r="F159" i="9"/>
  <c r="F54" i="9"/>
  <c r="S211" i="9"/>
  <c r="S80" i="9"/>
  <c r="S89" i="9"/>
  <c r="F130" i="9"/>
  <c r="F135" i="9"/>
  <c r="G84" i="9"/>
  <c r="G219" i="9" s="1"/>
  <c r="E165" i="9"/>
  <c r="E152" i="9"/>
  <c r="F196" i="9"/>
  <c r="F221" i="9" s="1"/>
  <c r="E221" i="9" l="1"/>
  <c r="H59" i="11"/>
  <c r="G59" i="11"/>
  <c r="E124" i="9"/>
  <c r="O124" i="9" s="1"/>
  <c r="O130" i="9" s="1"/>
  <c r="S93" i="9"/>
  <c r="E151" i="9"/>
  <c r="E159" i="9" s="1"/>
  <c r="G225" i="9"/>
  <c r="E164" i="9"/>
  <c r="E173" i="9" s="1"/>
  <c r="F146" i="9"/>
  <c r="E135" i="9"/>
  <c r="E225" i="9"/>
  <c r="G237" i="9"/>
  <c r="G238" i="9" s="1"/>
  <c r="E237" i="9"/>
  <c r="E238" i="9" s="1"/>
  <c r="F237" i="9"/>
  <c r="F238" i="9" s="1"/>
  <c r="F225" i="9"/>
  <c r="O164" i="9" l="1"/>
  <c r="O151" i="9"/>
  <c r="P151" i="9" s="1"/>
  <c r="P159" i="9" s="1"/>
  <c r="P124" i="9"/>
  <c r="P130" i="9" s="1"/>
  <c r="E130" i="9"/>
  <c r="O135" i="9"/>
  <c r="E146" i="9"/>
  <c r="P164" i="9"/>
  <c r="P173" i="9" s="1"/>
  <c r="O173" i="9"/>
  <c r="O159" i="9"/>
  <c r="P135" i="9" l="1"/>
  <c r="P146" i="9" s="1"/>
  <c r="O146" i="9"/>
  <c r="J41" i="1" l="1"/>
  <c r="I41" i="1"/>
  <c r="I251" i="3" l="1"/>
  <c r="I290" i="3"/>
  <c r="I293" i="3" l="1"/>
  <c r="I291" i="3"/>
  <c r="I292" i="3"/>
  <c r="I169" i="3"/>
  <c r="H251" i="3"/>
  <c r="H169" i="3"/>
  <c r="H84" i="3"/>
  <c r="H83" i="3"/>
  <c r="H82" i="3"/>
  <c r="H73" i="3"/>
  <c r="H68" i="3"/>
  <c r="H64" i="3"/>
  <c r="H63" i="3"/>
  <c r="H61" i="3"/>
  <c r="H60" i="3"/>
  <c r="H59" i="3"/>
  <c r="H58" i="3"/>
  <c r="H57" i="3"/>
  <c r="H53" i="3"/>
  <c r="H51" i="3"/>
  <c r="H48" i="3"/>
  <c r="H46" i="3"/>
  <c r="H42" i="3"/>
  <c r="H31" i="3"/>
  <c r="H30" i="3"/>
  <c r="H28" i="3"/>
  <c r="H27" i="3"/>
  <c r="I84" i="3"/>
  <c r="I82" i="3"/>
  <c r="I73" i="3"/>
  <c r="I68" i="3"/>
  <c r="I64" i="3"/>
  <c r="I63" i="3"/>
  <c r="I61" i="3"/>
  <c r="I60" i="3"/>
  <c r="I59" i="3"/>
  <c r="I58" i="3"/>
  <c r="I53" i="3"/>
  <c r="I51" i="3"/>
  <c r="I48" i="3"/>
  <c r="I31" i="3"/>
  <c r="I30" i="3"/>
  <c r="I83" i="3"/>
  <c r="F52" i="3"/>
  <c r="G52" i="3"/>
  <c r="E52" i="3"/>
  <c r="I57" i="3"/>
  <c r="F45" i="3"/>
  <c r="F41" i="3"/>
  <c r="F40" i="3" s="1"/>
  <c r="F39" i="3" s="1"/>
  <c r="G76" i="3"/>
  <c r="G75" i="3" s="1"/>
  <c r="G74" i="3" s="1"/>
  <c r="G274" i="9" s="1"/>
  <c r="G277" i="9" s="1"/>
  <c r="F67" i="3"/>
  <c r="F66" i="3" s="1"/>
  <c r="F65" i="3" s="1"/>
  <c r="G67" i="3"/>
  <c r="G66" i="3" s="1"/>
  <c r="G65" i="3" s="1"/>
  <c r="F72" i="3"/>
  <c r="F71" i="3" s="1"/>
  <c r="F70" i="3" s="1"/>
  <c r="F69" i="3" s="1"/>
  <c r="G72" i="3"/>
  <c r="G71" i="3" s="1"/>
  <c r="G70" i="3" s="1"/>
  <c r="G69" i="3" s="1"/>
  <c r="E72" i="3"/>
  <c r="E71" i="3" s="1"/>
  <c r="E70" i="3" s="1"/>
  <c r="F29" i="3"/>
  <c r="G29" i="3"/>
  <c r="G41" i="3"/>
  <c r="G40" i="3" s="1"/>
  <c r="G39" i="3" s="1"/>
  <c r="G45" i="3"/>
  <c r="F47" i="3"/>
  <c r="G47" i="3"/>
  <c r="G56" i="3"/>
  <c r="F62" i="3"/>
  <c r="G62" i="3"/>
  <c r="G26" i="3"/>
  <c r="I27" i="3"/>
  <c r="I28" i="3"/>
  <c r="E41" i="3"/>
  <c r="E40" i="3" s="1"/>
  <c r="E29" i="3"/>
  <c r="E26" i="3"/>
  <c r="E45" i="3"/>
  <c r="E47" i="3"/>
  <c r="E56" i="3"/>
  <c r="E62" i="3"/>
  <c r="E67" i="3"/>
  <c r="E66" i="3" s="1"/>
  <c r="E65" i="3" s="1"/>
  <c r="E76" i="3"/>
  <c r="E75" i="3" s="1"/>
  <c r="E268" i="9" l="1"/>
  <c r="E248" i="9"/>
  <c r="E264" i="9"/>
  <c r="E252" i="9"/>
  <c r="E260" i="9"/>
  <c r="E256" i="9"/>
  <c r="H254" i="3"/>
  <c r="I254" i="3"/>
  <c r="I259" i="9"/>
  <c r="H100" i="3"/>
  <c r="I100" i="3"/>
  <c r="I119" i="3"/>
  <c r="H119" i="3"/>
  <c r="I154" i="3"/>
  <c r="H154" i="3"/>
  <c r="I171" i="3"/>
  <c r="H171" i="3"/>
  <c r="H194" i="3"/>
  <c r="I194" i="3"/>
  <c r="I217" i="3"/>
  <c r="H217" i="3"/>
  <c r="H234" i="3"/>
  <c r="I234" i="3"/>
  <c r="I271" i="3"/>
  <c r="H271" i="3"/>
  <c r="H102" i="3"/>
  <c r="I102" i="3"/>
  <c r="H137" i="3"/>
  <c r="I137" i="3"/>
  <c r="H195" i="3"/>
  <c r="I195" i="3"/>
  <c r="H219" i="3"/>
  <c r="I219" i="3"/>
  <c r="I238" i="3"/>
  <c r="H238" i="3"/>
  <c r="I272" i="3"/>
  <c r="H272" i="3"/>
  <c r="I105" i="3"/>
  <c r="H105" i="3"/>
  <c r="I121" i="3"/>
  <c r="H121" i="3"/>
  <c r="I155" i="3"/>
  <c r="H155" i="3"/>
  <c r="H175" i="3"/>
  <c r="I175" i="3"/>
  <c r="H221" i="3"/>
  <c r="I221" i="3"/>
  <c r="H243" i="3"/>
  <c r="I243" i="3"/>
  <c r="I277" i="3"/>
  <c r="H277" i="3"/>
  <c r="I106" i="3"/>
  <c r="H106" i="3"/>
  <c r="H122" i="3"/>
  <c r="I122" i="3"/>
  <c r="H140" i="3"/>
  <c r="I140" i="3"/>
  <c r="I158" i="3"/>
  <c r="H158" i="3"/>
  <c r="I198" i="3"/>
  <c r="H198" i="3"/>
  <c r="I250" i="3"/>
  <c r="H250" i="3"/>
  <c r="I278" i="3"/>
  <c r="H278" i="3"/>
  <c r="I107" i="3"/>
  <c r="H107" i="3"/>
  <c r="H123" i="3"/>
  <c r="I123" i="3"/>
  <c r="I141" i="3"/>
  <c r="H141" i="3"/>
  <c r="I159" i="3"/>
  <c r="H159" i="3"/>
  <c r="H176" i="3"/>
  <c r="I176" i="3"/>
  <c r="H223" i="3"/>
  <c r="I223" i="3"/>
  <c r="I252" i="3"/>
  <c r="H252" i="3"/>
  <c r="H283" i="3"/>
  <c r="I283" i="3"/>
  <c r="I108" i="3"/>
  <c r="H108" i="3"/>
  <c r="H124" i="3"/>
  <c r="I124" i="3"/>
  <c r="I144" i="3"/>
  <c r="H144" i="3"/>
  <c r="H177" i="3"/>
  <c r="I177" i="3"/>
  <c r="I202" i="3"/>
  <c r="H202" i="3"/>
  <c r="I289" i="3"/>
  <c r="H289" i="3"/>
  <c r="I109" i="3"/>
  <c r="H109" i="3"/>
  <c r="H126" i="3"/>
  <c r="I126" i="3"/>
  <c r="I179" i="3"/>
  <c r="H179" i="3"/>
  <c r="H205" i="3"/>
  <c r="I205" i="3"/>
  <c r="I224" i="3"/>
  <c r="H224" i="3"/>
  <c r="I255" i="3"/>
  <c r="H255" i="3"/>
  <c r="H112" i="3"/>
  <c r="I112" i="3"/>
  <c r="I127" i="3"/>
  <c r="H127" i="3"/>
  <c r="H162" i="3"/>
  <c r="I162" i="3"/>
  <c r="H208" i="3"/>
  <c r="I208" i="3"/>
  <c r="I225" i="3"/>
  <c r="H225" i="3"/>
  <c r="I259" i="3"/>
  <c r="H259" i="3"/>
  <c r="I94" i="3"/>
  <c r="H94" i="3"/>
  <c r="H113" i="3"/>
  <c r="I113" i="3"/>
  <c r="I128" i="3"/>
  <c r="H128" i="3"/>
  <c r="I145" i="3"/>
  <c r="H145" i="3"/>
  <c r="H163" i="3"/>
  <c r="I163" i="3"/>
  <c r="I186" i="3"/>
  <c r="H186" i="3"/>
  <c r="I212" i="3"/>
  <c r="H212" i="3"/>
  <c r="I226" i="3"/>
  <c r="H226" i="3"/>
  <c r="H261" i="3"/>
  <c r="I261" i="3"/>
  <c r="I95" i="3"/>
  <c r="H95" i="3"/>
  <c r="H114" i="3"/>
  <c r="I114" i="3"/>
  <c r="I129" i="3"/>
  <c r="H129" i="3"/>
  <c r="H146" i="3"/>
  <c r="I146" i="3"/>
  <c r="H165" i="3"/>
  <c r="I165" i="3"/>
  <c r="I187" i="3"/>
  <c r="H187" i="3"/>
  <c r="I213" i="3"/>
  <c r="H213" i="3"/>
  <c r="H230" i="3"/>
  <c r="I230" i="3"/>
  <c r="H266" i="3"/>
  <c r="I266" i="3"/>
  <c r="I96" i="3"/>
  <c r="H96" i="3"/>
  <c r="H115" i="3"/>
  <c r="I115" i="3"/>
  <c r="I131" i="3"/>
  <c r="H131" i="3"/>
  <c r="H190" i="3"/>
  <c r="I190" i="3"/>
  <c r="I214" i="3"/>
  <c r="H214" i="3"/>
  <c r="H231" i="3"/>
  <c r="I231" i="3"/>
  <c r="H267" i="3"/>
  <c r="I267" i="3"/>
  <c r="I98" i="3"/>
  <c r="H98" i="3"/>
  <c r="H135" i="3"/>
  <c r="I135" i="3"/>
  <c r="I170" i="3"/>
  <c r="H170" i="3"/>
  <c r="I216" i="3"/>
  <c r="H216" i="3"/>
  <c r="H233" i="3"/>
  <c r="I233" i="3"/>
  <c r="I270" i="3"/>
  <c r="H270" i="3"/>
  <c r="I29" i="3"/>
  <c r="I50" i="3"/>
  <c r="H52" i="3"/>
  <c r="I45" i="3"/>
  <c r="F56" i="3"/>
  <c r="I56" i="3" s="1"/>
  <c r="F76" i="3"/>
  <c r="F75" i="3" s="1"/>
  <c r="F74" i="3" s="1"/>
  <c r="F274" i="9" s="1"/>
  <c r="H47" i="3"/>
  <c r="I67" i="3"/>
  <c r="I71" i="3"/>
  <c r="F49" i="3"/>
  <c r="H62" i="3"/>
  <c r="I47" i="3"/>
  <c r="I39" i="3"/>
  <c r="I62" i="3"/>
  <c r="I69" i="3"/>
  <c r="I52" i="3"/>
  <c r="H45" i="3"/>
  <c r="H50" i="3"/>
  <c r="I65" i="3"/>
  <c r="G49" i="3"/>
  <c r="H40" i="3"/>
  <c r="E39" i="3"/>
  <c r="H39" i="3" s="1"/>
  <c r="E49" i="3"/>
  <c r="I46" i="3"/>
  <c r="I70" i="3"/>
  <c r="H72" i="3"/>
  <c r="I72" i="3"/>
  <c r="H75" i="3"/>
  <c r="H26" i="3"/>
  <c r="H41" i="3"/>
  <c r="H65" i="3"/>
  <c r="H77" i="3"/>
  <c r="I40" i="3"/>
  <c r="H66" i="3"/>
  <c r="H76" i="3"/>
  <c r="I41" i="3"/>
  <c r="H67" i="3"/>
  <c r="I42" i="3"/>
  <c r="I66" i="3"/>
  <c r="H29" i="3"/>
  <c r="H56" i="3"/>
  <c r="E44" i="3"/>
  <c r="H70" i="3"/>
  <c r="H71" i="3"/>
  <c r="F44" i="3"/>
  <c r="E55" i="3"/>
  <c r="E54" i="3" s="1"/>
  <c r="F26" i="3"/>
  <c r="E25" i="3"/>
  <c r="E24" i="3" s="1"/>
  <c r="G44" i="3"/>
  <c r="G55" i="3"/>
  <c r="G54" i="3" s="1"/>
  <c r="G25" i="3"/>
  <c r="G24" i="3" s="1"/>
  <c r="F277" i="9" l="1"/>
  <c r="I277" i="9" s="1"/>
  <c r="F25" i="3"/>
  <c r="F24" i="3" s="1"/>
  <c r="E271" i="9"/>
  <c r="H267" i="9"/>
  <c r="I267" i="9"/>
  <c r="I251" i="9"/>
  <c r="H251" i="9"/>
  <c r="I74" i="3"/>
  <c r="I274" i="9"/>
  <c r="I263" i="9"/>
  <c r="H263" i="9"/>
  <c r="H259" i="9"/>
  <c r="I255" i="9"/>
  <c r="H255" i="9"/>
  <c r="I142" i="3"/>
  <c r="H142" i="3"/>
  <c r="I184" i="3"/>
  <c r="H184" i="3"/>
  <c r="I99" i="3"/>
  <c r="H99" i="3"/>
  <c r="I93" i="3"/>
  <c r="H93" i="3"/>
  <c r="I130" i="3"/>
  <c r="H130" i="3"/>
  <c r="I237" i="3"/>
  <c r="H237" i="3"/>
  <c r="H281" i="3"/>
  <c r="I281" i="3"/>
  <c r="I215" i="3"/>
  <c r="H215" i="3"/>
  <c r="I157" i="3"/>
  <c r="H157" i="3"/>
  <c r="H232" i="3"/>
  <c r="I232" i="3"/>
  <c r="H260" i="3"/>
  <c r="I260" i="3"/>
  <c r="I274" i="3"/>
  <c r="H274" i="3"/>
  <c r="H164" i="3"/>
  <c r="I164" i="3"/>
  <c r="I218" i="3"/>
  <c r="H218" i="3"/>
  <c r="H125" i="3"/>
  <c r="I125" i="3"/>
  <c r="I241" i="3"/>
  <c r="H241" i="3"/>
  <c r="H104" i="3"/>
  <c r="I104" i="3"/>
  <c r="H204" i="3"/>
  <c r="I204" i="3"/>
  <c r="H247" i="3"/>
  <c r="I247" i="3"/>
  <c r="H207" i="3"/>
  <c r="I207" i="3"/>
  <c r="H265" i="3"/>
  <c r="I265" i="3"/>
  <c r="I257" i="3"/>
  <c r="H257" i="3"/>
  <c r="I111" i="3"/>
  <c r="H111" i="3"/>
  <c r="I229" i="3"/>
  <c r="H229" i="3"/>
  <c r="I178" i="3"/>
  <c r="H178" i="3"/>
  <c r="I287" i="3"/>
  <c r="H287" i="3"/>
  <c r="H101" i="3"/>
  <c r="I101" i="3"/>
  <c r="H211" i="3"/>
  <c r="I211" i="3"/>
  <c r="F26" i="1"/>
  <c r="I76" i="3"/>
  <c r="I77" i="3"/>
  <c r="I75" i="3"/>
  <c r="E43" i="3"/>
  <c r="F55" i="3"/>
  <c r="F54" i="3" s="1"/>
  <c r="I49" i="3"/>
  <c r="F43" i="3"/>
  <c r="H49" i="3"/>
  <c r="H25" i="3"/>
  <c r="I44" i="3"/>
  <c r="H44" i="3"/>
  <c r="G43" i="3"/>
  <c r="H55" i="3"/>
  <c r="I26" i="3"/>
  <c r="F23" i="3" l="1"/>
  <c r="G23" i="3"/>
  <c r="E23" i="3"/>
  <c r="F22" i="1" s="1"/>
  <c r="I25" i="3"/>
  <c r="H103" i="3"/>
  <c r="I103" i="3"/>
  <c r="I273" i="3"/>
  <c r="H273" i="3"/>
  <c r="I92" i="3"/>
  <c r="H92" i="3"/>
  <c r="H280" i="3"/>
  <c r="I280" i="3"/>
  <c r="H246" i="3"/>
  <c r="I246" i="3"/>
  <c r="I228" i="3"/>
  <c r="H228" i="3"/>
  <c r="I240" i="3"/>
  <c r="H240" i="3"/>
  <c r="H286" i="3"/>
  <c r="I286" i="3"/>
  <c r="I110" i="3"/>
  <c r="H110" i="3"/>
  <c r="I236" i="3"/>
  <c r="H236" i="3"/>
  <c r="I55" i="3"/>
  <c r="I24" i="3"/>
  <c r="H24" i="3"/>
  <c r="I54" i="3"/>
  <c r="H54" i="3"/>
  <c r="I43" i="3"/>
  <c r="H43" i="3"/>
  <c r="I239" i="3" l="1"/>
  <c r="H239" i="3"/>
  <c r="I227" i="3"/>
  <c r="H227" i="3"/>
  <c r="I235" i="3"/>
  <c r="H235" i="3"/>
  <c r="H245" i="3"/>
  <c r="I245" i="3"/>
  <c r="H91" i="3"/>
  <c r="I91" i="3"/>
  <c r="H285" i="3"/>
  <c r="I285" i="3"/>
  <c r="E142" i="7"/>
  <c r="C142" i="7"/>
  <c r="H244" i="3" l="1"/>
  <c r="I244" i="3"/>
  <c r="I22" i="6"/>
  <c r="I21" i="6"/>
  <c r="H22" i="6"/>
  <c r="H21" i="6"/>
  <c r="E306" i="7"/>
  <c r="E192" i="7"/>
  <c r="C192" i="7"/>
  <c r="C191" i="7" s="1"/>
  <c r="E71" i="7"/>
  <c r="I182" i="3" l="1"/>
  <c r="H182" i="3"/>
  <c r="I197" i="3"/>
  <c r="H197" i="3"/>
  <c r="H174" i="3"/>
  <c r="I174" i="3"/>
  <c r="H136" i="3"/>
  <c r="I136" i="3"/>
  <c r="H222" i="3"/>
  <c r="I222" i="3"/>
  <c r="H150" i="3"/>
  <c r="I150" i="3"/>
  <c r="H191" i="3"/>
  <c r="I191" i="3"/>
  <c r="I200" i="3"/>
  <c r="H200" i="3"/>
  <c r="H153" i="3"/>
  <c r="I153" i="3"/>
  <c r="H120" i="3"/>
  <c r="I120" i="3"/>
  <c r="I168" i="3"/>
  <c r="H168" i="3"/>
  <c r="E191" i="7"/>
  <c r="E387" i="7"/>
  <c r="E384" i="7"/>
  <c r="E382" i="7"/>
  <c r="E380" i="7"/>
  <c r="E367" i="7"/>
  <c r="E366" i="7" s="1"/>
  <c r="E364" i="7"/>
  <c r="E362" i="7"/>
  <c r="E360" i="7"/>
  <c r="E339" i="7"/>
  <c r="E317" i="7"/>
  <c r="E315" i="7"/>
  <c r="E309" i="7"/>
  <c r="E304" i="7"/>
  <c r="E302" i="7"/>
  <c r="E284" i="7"/>
  <c r="E281" i="7"/>
  <c r="E279" i="7"/>
  <c r="E277" i="7"/>
  <c r="E271" i="7"/>
  <c r="E267" i="7"/>
  <c r="E261" i="7"/>
  <c r="E248" i="7"/>
  <c r="E246" i="7"/>
  <c r="E241" i="7"/>
  <c r="E239" i="7"/>
  <c r="E236" i="7"/>
  <c r="E231" i="7"/>
  <c r="E226" i="7"/>
  <c r="E217" i="7"/>
  <c r="E213" i="7"/>
  <c r="E210" i="7"/>
  <c r="E208" i="7"/>
  <c r="E206" i="7"/>
  <c r="E201" i="7"/>
  <c r="E199" i="7"/>
  <c r="E189" i="7"/>
  <c r="E186" i="7"/>
  <c r="E164" i="7"/>
  <c r="E160" i="7"/>
  <c r="E155" i="7"/>
  <c r="E149" i="7"/>
  <c r="E130" i="7"/>
  <c r="E126" i="7"/>
  <c r="E124" i="7"/>
  <c r="E118" i="7"/>
  <c r="E111" i="7"/>
  <c r="E102" i="7"/>
  <c r="E93" i="7"/>
  <c r="E88" i="7"/>
  <c r="E85" i="7"/>
  <c r="E82" i="7"/>
  <c r="E75" i="7"/>
  <c r="E66" i="7"/>
  <c r="E52" i="7"/>
  <c r="E61" i="7"/>
  <c r="E47" i="7"/>
  <c r="E41" i="7"/>
  <c r="E37" i="7"/>
  <c r="E35" i="7"/>
  <c r="E33" i="7"/>
  <c r="E31" i="7"/>
  <c r="E24" i="7"/>
  <c r="C52" i="7"/>
  <c r="C51" i="7" s="1"/>
  <c r="C50" i="7" s="1"/>
  <c r="C49" i="7" s="1"/>
  <c r="C367" i="7"/>
  <c r="C366" i="7" s="1"/>
  <c r="C387" i="7"/>
  <c r="C386" i="7" s="1"/>
  <c r="C384" i="7"/>
  <c r="C382" i="7"/>
  <c r="C380" i="7"/>
  <c r="C364" i="7"/>
  <c r="C362" i="7"/>
  <c r="C360" i="7"/>
  <c r="C339" i="7"/>
  <c r="C338" i="7" s="1"/>
  <c r="C324" i="7"/>
  <c r="C315" i="7"/>
  <c r="C317" i="7"/>
  <c r="C309" i="7"/>
  <c r="C308" i="7" s="1"/>
  <c r="C306" i="7"/>
  <c r="C304" i="7"/>
  <c r="C302" i="7"/>
  <c r="C288" i="7"/>
  <c r="C284" i="7"/>
  <c r="C283" i="7" s="1"/>
  <c r="C281" i="7"/>
  <c r="C279" i="7"/>
  <c r="C277" i="7"/>
  <c r="C267" i="7"/>
  <c r="C266" i="7" s="1"/>
  <c r="C271" i="7"/>
  <c r="C270" i="7" s="1"/>
  <c r="C261" i="7"/>
  <c r="C260" i="7" s="1"/>
  <c r="C239" i="7"/>
  <c r="C248" i="7"/>
  <c r="C246" i="7"/>
  <c r="C241" i="7"/>
  <c r="C236" i="7"/>
  <c r="C235" i="7" s="1"/>
  <c r="C210" i="7"/>
  <c r="C226" i="7"/>
  <c r="C231" i="7"/>
  <c r="C222" i="7"/>
  <c r="C217" i="7"/>
  <c r="C213" i="7"/>
  <c r="C208" i="7"/>
  <c r="C206" i="7"/>
  <c r="C160" i="7"/>
  <c r="C164" i="7"/>
  <c r="C181" i="7"/>
  <c r="C186" i="7"/>
  <c r="C185" i="7" s="1"/>
  <c r="C189" i="7"/>
  <c r="C188" i="7" s="1"/>
  <c r="C199" i="7"/>
  <c r="C124" i="7"/>
  <c r="C126" i="7"/>
  <c r="C130" i="7"/>
  <c r="C149" i="7"/>
  <c r="C155" i="7"/>
  <c r="C75" i="7"/>
  <c r="C74" i="7" s="1"/>
  <c r="C93" i="7"/>
  <c r="C96" i="7"/>
  <c r="C102" i="7"/>
  <c r="C111" i="7"/>
  <c r="C118" i="7"/>
  <c r="C117" i="7" s="1"/>
  <c r="C82" i="7"/>
  <c r="C85" i="7"/>
  <c r="C88" i="7"/>
  <c r="C66" i="7"/>
  <c r="C71" i="7"/>
  <c r="C61" i="7"/>
  <c r="C60" i="7" s="1"/>
  <c r="C47" i="7"/>
  <c r="C46" i="7" s="1"/>
  <c r="C45" i="7" s="1"/>
  <c r="C44" i="7" s="1"/>
  <c r="C31" i="7"/>
  <c r="C33" i="7"/>
  <c r="C35" i="7"/>
  <c r="C37" i="7"/>
  <c r="C41" i="7"/>
  <c r="C40" i="7" s="1"/>
  <c r="C39" i="7" s="1"/>
  <c r="C24" i="7"/>
  <c r="C23" i="7" s="1"/>
  <c r="C168" i="7" l="1"/>
  <c r="C148" i="7"/>
  <c r="E148" i="7"/>
  <c r="H247" i="9"/>
  <c r="C379" i="7"/>
  <c r="C378" i="7" s="1"/>
  <c r="E40" i="7"/>
  <c r="E39" i="7" s="1"/>
  <c r="E260" i="7"/>
  <c r="E259" i="7" s="1"/>
  <c r="E386" i="7"/>
  <c r="I247" i="9"/>
  <c r="E46" i="7"/>
  <c r="E45" i="7" s="1"/>
  <c r="E44" i="7" s="1"/>
  <c r="E266" i="7"/>
  <c r="E324" i="7"/>
  <c r="G191" i="7"/>
  <c r="F191" i="7"/>
  <c r="H271" i="9"/>
  <c r="E117" i="7"/>
  <c r="E270" i="7"/>
  <c r="E269" i="7" s="1"/>
  <c r="E51" i="7"/>
  <c r="E50" i="7" s="1"/>
  <c r="E49" i="7" s="1"/>
  <c r="E338" i="7"/>
  <c r="E329" i="7" s="1"/>
  <c r="E23" i="7"/>
  <c r="E65" i="7"/>
  <c r="E185" i="7"/>
  <c r="E74" i="7"/>
  <c r="E188" i="7"/>
  <c r="E235" i="7"/>
  <c r="E283" i="7"/>
  <c r="E308" i="7"/>
  <c r="E60" i="7"/>
  <c r="E59" i="7" s="1"/>
  <c r="E288" i="7"/>
  <c r="G367" i="7"/>
  <c r="F367" i="7"/>
  <c r="H199" i="3"/>
  <c r="I199" i="3"/>
  <c r="I134" i="3"/>
  <c r="H134" i="3"/>
  <c r="H167" i="3"/>
  <c r="I167" i="3"/>
  <c r="I189" i="3"/>
  <c r="I173" i="3"/>
  <c r="H173" i="3"/>
  <c r="E81" i="7"/>
  <c r="E195" i="7"/>
  <c r="I118" i="3"/>
  <c r="H118" i="3"/>
  <c r="I196" i="3"/>
  <c r="H196" i="3"/>
  <c r="I148" i="3"/>
  <c r="H148" i="3"/>
  <c r="I152" i="3"/>
  <c r="H152" i="3"/>
  <c r="E212" i="7"/>
  <c r="H220" i="3"/>
  <c r="I220" i="3"/>
  <c r="I181" i="3"/>
  <c r="H181" i="3"/>
  <c r="E168" i="7"/>
  <c r="E123" i="7"/>
  <c r="E379" i="7"/>
  <c r="E314" i="7"/>
  <c r="E313" i="7" s="1"/>
  <c r="E359" i="7"/>
  <c r="E301" i="7"/>
  <c r="E276" i="7"/>
  <c r="E238" i="7"/>
  <c r="E225" i="7"/>
  <c r="E205" i="7"/>
  <c r="E159" i="7"/>
  <c r="E30" i="7"/>
  <c r="E92" i="7"/>
  <c r="C359" i="7"/>
  <c r="C329" i="7"/>
  <c r="C314" i="7"/>
  <c r="C313" i="7" s="1"/>
  <c r="C312" i="7" s="1"/>
  <c r="C301" i="7"/>
  <c r="C276" i="7"/>
  <c r="C205" i="7"/>
  <c r="C225" i="7"/>
  <c r="C238" i="7"/>
  <c r="C212" i="7"/>
  <c r="C159" i="7"/>
  <c r="C195" i="7"/>
  <c r="C123" i="7"/>
  <c r="C92" i="7"/>
  <c r="C81" i="7"/>
  <c r="C65" i="7"/>
  <c r="C30" i="7"/>
  <c r="I271" i="9" l="1"/>
  <c r="E91" i="7"/>
  <c r="F92" i="7"/>
  <c r="G92" i="7"/>
  <c r="E147" i="7"/>
  <c r="G148" i="7"/>
  <c r="F148" i="7"/>
  <c r="F39" i="7"/>
  <c r="G39" i="7"/>
  <c r="E22" i="7"/>
  <c r="G22" i="7" s="1"/>
  <c r="F23" i="7"/>
  <c r="G270" i="7"/>
  <c r="F270" i="7"/>
  <c r="E287" i="7"/>
  <c r="E286" i="7" s="1"/>
  <c r="G288" i="7"/>
  <c r="F288" i="7"/>
  <c r="G235" i="7"/>
  <c r="F235" i="7"/>
  <c r="E64" i="7"/>
  <c r="F65" i="7"/>
  <c r="G65" i="7"/>
  <c r="G260" i="7"/>
  <c r="F260" i="7"/>
  <c r="F123" i="7"/>
  <c r="G123" i="7"/>
  <c r="F60" i="7"/>
  <c r="G60" i="7"/>
  <c r="E323" i="7"/>
  <c r="G323" i="7" s="1"/>
  <c r="G324" i="7"/>
  <c r="F324" i="7"/>
  <c r="F46" i="7"/>
  <c r="G46" i="7"/>
  <c r="F51" i="7"/>
  <c r="G51" i="7"/>
  <c r="F45" i="7"/>
  <c r="G45" i="7"/>
  <c r="G188" i="7"/>
  <c r="F188" i="7"/>
  <c r="G338" i="7"/>
  <c r="F338" i="7"/>
  <c r="E251" i="7"/>
  <c r="G252" i="7"/>
  <c r="F252" i="7"/>
  <c r="G308" i="7"/>
  <c r="F308" i="7"/>
  <c r="E265" i="7"/>
  <c r="G266" i="7"/>
  <c r="F266" i="7"/>
  <c r="E224" i="7"/>
  <c r="G225" i="7"/>
  <c r="F225" i="7"/>
  <c r="F117" i="7"/>
  <c r="G117" i="7"/>
  <c r="F40" i="7"/>
  <c r="G40" i="7"/>
  <c r="E378" i="7"/>
  <c r="G379" i="7"/>
  <c r="F379" i="7"/>
  <c r="G168" i="7"/>
  <c r="F168" i="7"/>
  <c r="G205" i="7"/>
  <c r="F205" i="7"/>
  <c r="G269" i="7"/>
  <c r="G329" i="7"/>
  <c r="F329" i="7"/>
  <c r="G159" i="7"/>
  <c r="F159" i="7"/>
  <c r="E194" i="7"/>
  <c r="G195" i="7"/>
  <c r="F195" i="7"/>
  <c r="G366" i="7"/>
  <c r="F366" i="7"/>
  <c r="G185" i="7"/>
  <c r="F185" i="7"/>
  <c r="G330" i="7"/>
  <c r="F330" i="7"/>
  <c r="G386" i="7"/>
  <c r="F386" i="7"/>
  <c r="E312" i="7"/>
  <c r="G314" i="7"/>
  <c r="F314" i="7"/>
  <c r="E80" i="7"/>
  <c r="E79" i="7" s="1"/>
  <c r="F81" i="7"/>
  <c r="G81" i="7"/>
  <c r="E73" i="7"/>
  <c r="F74" i="7"/>
  <c r="G74" i="7"/>
  <c r="E29" i="7"/>
  <c r="E28" i="7" s="1"/>
  <c r="F30" i="7"/>
  <c r="G30" i="7"/>
  <c r="G238" i="7"/>
  <c r="F238" i="7"/>
  <c r="E275" i="7"/>
  <c r="G276" i="7"/>
  <c r="F276" i="7"/>
  <c r="E300" i="7"/>
  <c r="G301" i="7"/>
  <c r="F301" i="7"/>
  <c r="E358" i="7"/>
  <c r="G359" i="7"/>
  <c r="F359" i="7"/>
  <c r="G212" i="7"/>
  <c r="F212" i="7"/>
  <c r="G283" i="7"/>
  <c r="F283" i="7"/>
  <c r="G59" i="7"/>
  <c r="G259" i="7"/>
  <c r="G50" i="7"/>
  <c r="F50" i="7"/>
  <c r="F313" i="7"/>
  <c r="E258" i="7"/>
  <c r="E158" i="7"/>
  <c r="E58" i="7"/>
  <c r="C358" i="7"/>
  <c r="C300" i="7"/>
  <c r="C275" i="7"/>
  <c r="C234" i="7"/>
  <c r="C194" i="7"/>
  <c r="C147" i="7"/>
  <c r="C91" i="7"/>
  <c r="I166" i="3"/>
  <c r="E204" i="7"/>
  <c r="H117" i="3"/>
  <c r="I117" i="3"/>
  <c r="H133" i="3"/>
  <c r="I133" i="3"/>
  <c r="I203" i="3"/>
  <c r="H203" i="3"/>
  <c r="C158" i="7"/>
  <c r="E234" i="7"/>
  <c r="G23" i="7"/>
  <c r="C204" i="7"/>
  <c r="G313" i="7" l="1"/>
  <c r="E322" i="7"/>
  <c r="G29" i="7"/>
  <c r="G80" i="7"/>
  <c r="G251" i="7"/>
  <c r="E274" i="7"/>
  <c r="G275" i="7"/>
  <c r="F275" i="7"/>
  <c r="E21" i="7"/>
  <c r="E20" i="7" s="1"/>
  <c r="G224" i="7"/>
  <c r="G64" i="7"/>
  <c r="E63" i="7"/>
  <c r="G73" i="7"/>
  <c r="E203" i="7"/>
  <c r="G204" i="7"/>
  <c r="F204" i="7"/>
  <c r="G234" i="7"/>
  <c r="F234" i="7"/>
  <c r="E141" i="7"/>
  <c r="E122" i="7" s="1"/>
  <c r="G147" i="7"/>
  <c r="F147" i="7"/>
  <c r="E357" i="7"/>
  <c r="G358" i="7"/>
  <c r="F358" i="7"/>
  <c r="G265" i="7"/>
  <c r="E264" i="7"/>
  <c r="E299" i="7"/>
  <c r="G300" i="7"/>
  <c r="F300" i="7"/>
  <c r="G194" i="7"/>
  <c r="F194" i="7"/>
  <c r="E377" i="7"/>
  <c r="G378" i="7"/>
  <c r="F378" i="7"/>
  <c r="G286" i="7"/>
  <c r="G287" i="7"/>
  <c r="E90" i="7"/>
  <c r="F91" i="7"/>
  <c r="G91" i="7"/>
  <c r="G49" i="7"/>
  <c r="F49" i="7"/>
  <c r="G312" i="7"/>
  <c r="F312" i="7"/>
  <c r="E27" i="7"/>
  <c r="G28" i="7"/>
  <c r="G58" i="7"/>
  <c r="G258" i="7"/>
  <c r="E157" i="7"/>
  <c r="G158" i="7"/>
  <c r="F158" i="7"/>
  <c r="G79" i="7"/>
  <c r="C157" i="7"/>
  <c r="C141" i="7"/>
  <c r="I116" i="3"/>
  <c r="E233" i="7"/>
  <c r="E341" i="7" l="1"/>
  <c r="G322" i="7"/>
  <c r="E311" i="7"/>
  <c r="G311" i="7" s="1"/>
  <c r="E43" i="7"/>
  <c r="G43" i="7" s="1"/>
  <c r="G44" i="7"/>
  <c r="C122" i="7"/>
  <c r="C121" i="7" s="1"/>
  <c r="G20" i="7"/>
  <c r="G21" i="7"/>
  <c r="G141" i="7"/>
  <c r="F141" i="7"/>
  <c r="G299" i="7"/>
  <c r="G377" i="7"/>
  <c r="G203" i="7"/>
  <c r="G90" i="7"/>
  <c r="G357" i="7"/>
  <c r="G274" i="7"/>
  <c r="E273" i="7"/>
  <c r="G273" i="7" s="1"/>
  <c r="G264" i="7"/>
  <c r="G63" i="7"/>
  <c r="G233" i="7"/>
  <c r="F157" i="7"/>
  <c r="G157" i="7"/>
  <c r="G27" i="7"/>
  <c r="E74" i="3"/>
  <c r="E274" i="9" s="1"/>
  <c r="C22" i="7"/>
  <c r="G23" i="1"/>
  <c r="E69" i="3"/>
  <c r="H74" i="3" l="1"/>
  <c r="G341" i="7"/>
  <c r="E121" i="7"/>
  <c r="E78" i="7" s="1"/>
  <c r="E26" i="7" s="1"/>
  <c r="F122" i="7"/>
  <c r="G122" i="7"/>
  <c r="C21" i="7"/>
  <c r="F21" i="7" s="1"/>
  <c r="F22" i="7"/>
  <c r="F23" i="1"/>
  <c r="F21" i="1" s="1"/>
  <c r="H69" i="3"/>
  <c r="G42" i="1"/>
  <c r="H42" i="1"/>
  <c r="C20" i="7" l="1"/>
  <c r="F20" i="7" s="1"/>
  <c r="H274" i="9"/>
  <c r="F121" i="7"/>
  <c r="G121" i="7"/>
  <c r="J42" i="1"/>
  <c r="H23" i="3"/>
  <c r="I23" i="3"/>
  <c r="H23" i="1"/>
  <c r="G22" i="1"/>
  <c r="G21" i="1" s="1"/>
  <c r="H22" i="1"/>
  <c r="C29" i="7"/>
  <c r="F29" i="7" s="1"/>
  <c r="C377" i="7"/>
  <c r="C357" i="7"/>
  <c r="C323" i="7"/>
  <c r="C299" i="7"/>
  <c r="F299" i="7" s="1"/>
  <c r="C287" i="7"/>
  <c r="C286" i="7" s="1"/>
  <c r="C274" i="7"/>
  <c r="F274" i="7" s="1"/>
  <c r="C269" i="7"/>
  <c r="F269" i="7" s="1"/>
  <c r="C265" i="7"/>
  <c r="F265" i="7" s="1"/>
  <c r="C259" i="7"/>
  <c r="C251" i="7"/>
  <c r="F251" i="7" s="1"/>
  <c r="C224" i="7"/>
  <c r="F224" i="7" s="1"/>
  <c r="C90" i="7"/>
  <c r="F90" i="7" s="1"/>
  <c r="C80" i="7"/>
  <c r="C73" i="7"/>
  <c r="F73" i="7" s="1"/>
  <c r="C64" i="7"/>
  <c r="F64" i="7" s="1"/>
  <c r="C59" i="7"/>
  <c r="C341" i="7" l="1"/>
  <c r="F341" i="7" s="1"/>
  <c r="F357" i="7"/>
  <c r="F323" i="7"/>
  <c r="C322" i="7"/>
  <c r="C311" i="7" s="1"/>
  <c r="F377" i="7"/>
  <c r="F287" i="7"/>
  <c r="F286" i="7"/>
  <c r="G78" i="7"/>
  <c r="C258" i="7"/>
  <c r="F258" i="7" s="1"/>
  <c r="F259" i="7"/>
  <c r="C58" i="7"/>
  <c r="F58" i="7" s="1"/>
  <c r="F59" i="7"/>
  <c r="C79" i="7"/>
  <c r="F80" i="7"/>
  <c r="C233" i="7"/>
  <c r="F233" i="7" s="1"/>
  <c r="C203" i="7"/>
  <c r="F203" i="7" s="1"/>
  <c r="I23" i="1"/>
  <c r="J23" i="1"/>
  <c r="I22" i="1"/>
  <c r="J22" i="1"/>
  <c r="H26" i="1"/>
  <c r="H21" i="1"/>
  <c r="C264" i="7"/>
  <c r="F264" i="7" s="1"/>
  <c r="C63" i="7"/>
  <c r="F63" i="7" s="1"/>
  <c r="C28" i="7"/>
  <c r="F28" i="7" s="1"/>
  <c r="H25" i="1"/>
  <c r="F79" i="7" l="1"/>
  <c r="C78" i="7"/>
  <c r="C43" i="7"/>
  <c r="F43" i="7" s="1"/>
  <c r="F44" i="7"/>
  <c r="F322" i="7"/>
  <c r="C273" i="7"/>
  <c r="F273" i="7" s="1"/>
  <c r="E19" i="7"/>
  <c r="G19" i="7" s="1"/>
  <c r="G26" i="7"/>
  <c r="F311" i="7"/>
  <c r="C27" i="7"/>
  <c r="F27" i="7" s="1"/>
  <c r="I26" i="1"/>
  <c r="I21" i="1"/>
  <c r="J21" i="1"/>
  <c r="H24" i="1"/>
  <c r="F78" i="7" l="1"/>
  <c r="C26" i="7"/>
  <c r="F26" i="7" s="1"/>
  <c r="H27" i="1"/>
  <c r="H44" i="1" s="1"/>
  <c r="C19" i="7" l="1"/>
  <c r="F19" i="7" s="1"/>
  <c r="D26" i="5"/>
  <c r="B26" i="5"/>
  <c r="C26" i="5"/>
  <c r="C25" i="5" s="1"/>
  <c r="C24" i="5" s="1"/>
  <c r="C23" i="5" s="1"/>
  <c r="D25" i="5" l="1"/>
  <c r="F26" i="5"/>
  <c r="B25" i="5"/>
  <c r="E26" i="5"/>
  <c r="D24" i="5" l="1"/>
  <c r="F25" i="5"/>
  <c r="B24" i="5"/>
  <c r="E25" i="5"/>
  <c r="D23" i="5" l="1"/>
  <c r="F23" i="5" s="1"/>
  <c r="F24" i="5"/>
  <c r="B23" i="5"/>
  <c r="E24" i="5"/>
  <c r="E23" i="5" l="1"/>
  <c r="G26" i="1"/>
  <c r="J26" i="1" s="1"/>
  <c r="G25" i="1" l="1"/>
  <c r="I90" i="3"/>
  <c r="G24" i="1" l="1"/>
  <c r="J25" i="1"/>
  <c r="G27" i="1" l="1"/>
  <c r="G44" i="1" s="1"/>
  <c r="J24" i="1"/>
  <c r="J27" i="1" l="1"/>
  <c r="J44" i="1"/>
  <c r="H189" i="3"/>
  <c r="H166" i="3"/>
  <c r="H116" i="3" l="1"/>
  <c r="F25" i="1" l="1"/>
  <c r="H90" i="3"/>
  <c r="F24" i="1" l="1"/>
  <c r="I25" i="1"/>
  <c r="F27" i="1" l="1"/>
  <c r="I24" i="1"/>
  <c r="I27" i="1" l="1"/>
  <c r="H293" i="3"/>
  <c r="E292" i="3"/>
  <c r="H292" i="3" s="1"/>
  <c r="E291" i="3" l="1"/>
  <c r="E290" i="3" l="1"/>
  <c r="H291" i="3"/>
  <c r="F42" i="1"/>
  <c r="F44" i="1" l="1"/>
  <c r="I44" i="1" s="1"/>
  <c r="I42" i="1"/>
  <c r="E275" i="9"/>
  <c r="E277" i="9" s="1"/>
  <c r="H277" i="9" s="1"/>
  <c r="H290" i="3"/>
</calcChain>
</file>

<file path=xl/sharedStrings.xml><?xml version="1.0" encoding="utf-8"?>
<sst xmlns="http://schemas.openxmlformats.org/spreadsheetml/2006/main" count="1613" uniqueCount="346">
  <si>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</si>
  <si>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</si>
  <si>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</si>
  <si>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</si>
  <si>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</si>
  <si>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</si>
  <si>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</si>
  <si>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</si>
  <si>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</si>
  <si>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</si>
  <si>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</si>
  <si>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Naziv prihoda</t>
  </si>
  <si>
    <t xml:space="preserve">A. RAČUN PRIHODA I RASHODA </t>
  </si>
  <si>
    <t>Razred</t>
  </si>
  <si>
    <t>Skupina</t>
  </si>
  <si>
    <t>Izvor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</si>
  <si>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</si>
  <si>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</si>
  <si>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</si>
  <si>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</si>
  <si>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</si>
  <si>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</si>
  <si>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</si>
  <si>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</si>
  <si>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</si>
  <si>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</si>
  <si>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</si>
  <si>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</si>
  <si>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</si>
  <si>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</si>
  <si>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</si>
  <si>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</si>
  <si>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</si>
  <si>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</si>
  <si>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</si>
  <si>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</si>
  <si>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UKUPAN DONOS VIŠKA / MANJKA IZ PRETHODNE(IH) GODINE***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</si>
  <si>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</si>
  <si>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</si>
  <si>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</si>
  <si>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</si>
  <si>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</si>
  <si>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Naziv</t>
  </si>
  <si>
    <t>Izvor 4.3.1</t>
  </si>
  <si>
    <t>PRIHODI ZA POSEBNE NAMJENE- PK</t>
  </si>
  <si>
    <t>Vlastiti izvori</t>
  </si>
  <si>
    <t>Rezultat poslovanja</t>
  </si>
  <si>
    <t>Izvor 1.1.</t>
  </si>
  <si>
    <t>OPĆI PRIHODI I PRIMICI</t>
  </si>
  <si>
    <t xml:space="preserve"> 3</t>
  </si>
  <si>
    <t xml:space="preserve"> 32</t>
  </si>
  <si>
    <t>POMOĆI IZ GRADSKIH I OPĆINSKIH PRORAČUNA-PK</t>
  </si>
  <si>
    <t xml:space="preserve"> 4</t>
  </si>
  <si>
    <t xml:space="preserve"> 42</t>
  </si>
  <si>
    <t>Izvor 1.2.</t>
  </si>
  <si>
    <t>OPĆI PRIHODI OSNOVNE ŠKOLE</t>
  </si>
  <si>
    <t xml:space="preserve"> 34</t>
  </si>
  <si>
    <t>Financijski rashodi</t>
  </si>
  <si>
    <t>Izvor 3.1.1</t>
  </si>
  <si>
    <t>VLASTITI PRIHODI-PK</t>
  </si>
  <si>
    <t>POMOĆI-PK</t>
  </si>
  <si>
    <t xml:space="preserve"> 31</t>
  </si>
  <si>
    <t xml:space="preserve"> 37</t>
  </si>
  <si>
    <t>Naknade građanima i kućanstvima na temelju osiguranja i druge naknade</t>
  </si>
  <si>
    <t>Izvor 6.1.1</t>
  </si>
  <si>
    <t>TEKUĆE DONACIJE-PK</t>
  </si>
  <si>
    <t>Izvor 6.2.1</t>
  </si>
  <si>
    <t>KAPITALNE DONACIJA -PK</t>
  </si>
  <si>
    <t>POMOĆI-MINISTARSTVO ZNANOSTI I OBRAZOVANJA</t>
  </si>
  <si>
    <t>Program 1001</t>
  </si>
  <si>
    <t>PROGRAM JAVNIH POTREBA U ŠKOLSTVU</t>
  </si>
  <si>
    <t>Aktivnost A100007</t>
  </si>
  <si>
    <t>ŠKOLSKA NATJECANJA I SMOTRE</t>
  </si>
  <si>
    <t>Aktivnost A100010</t>
  </si>
  <si>
    <t>ŠKOLSKA KUHINJA</t>
  </si>
  <si>
    <t>Aktivnost A100014</t>
  </si>
  <si>
    <t>REDOVITI PROGRAM OŠ</t>
  </si>
  <si>
    <t>Aktivnost A100015</t>
  </si>
  <si>
    <t>PRODUŽENI BORAVAK</t>
  </si>
  <si>
    <t>Kapitalni projekt K100002</t>
  </si>
  <si>
    <t>ULAGANJE U OBJEKTE ŠKOLSTVA</t>
  </si>
  <si>
    <t>Tekući projekt T100004</t>
  </si>
  <si>
    <t>OSIGURAVANJE POMOĆNIKA U NASTAVI UČENICIMA S TEŠKOĆAMA</t>
  </si>
  <si>
    <t>09 OBRAZOVANJE</t>
  </si>
  <si>
    <t>091 PREDŠKOLSKO I OSNOVNO OBRAZOVANJE</t>
  </si>
  <si>
    <t>0911 Osnovno obrazovanje</t>
  </si>
  <si>
    <t>4.3.1.</t>
  </si>
  <si>
    <t>Pomoći-PK</t>
  </si>
  <si>
    <t>Pomoći iz gradskih i općinskih proračuna-PK</t>
  </si>
  <si>
    <t>Prihodi od imovine</t>
  </si>
  <si>
    <t>3.1.1.</t>
  </si>
  <si>
    <t>Vlastiti prihodi-PK</t>
  </si>
  <si>
    <t>Prihodi od upravnih i administrativnih pristojbi, pristojbi po posebnim propisima i naknada</t>
  </si>
  <si>
    <t>Prihodi za posebne namjene-PK</t>
  </si>
  <si>
    <t>Prihodi od prodaje proizvoda i robe te pruženih usluga i prihodi od donacija</t>
  </si>
  <si>
    <t>6.1.1.</t>
  </si>
  <si>
    <t>Tekuće donacije-PK</t>
  </si>
  <si>
    <t>6.2.1.</t>
  </si>
  <si>
    <t>Kapitalne donacije-PK</t>
  </si>
  <si>
    <t>1.1.</t>
  </si>
  <si>
    <t>1.2.</t>
  </si>
  <si>
    <t>Opći prihodi osnovne škole</t>
  </si>
  <si>
    <t>Pomoći - Ministarstvo znanosti i obrazovanja</t>
  </si>
  <si>
    <t>Pomoći - Agencija za plaćanje u poljoprivredi, razminiranje</t>
  </si>
  <si>
    <t>7.1.1.</t>
  </si>
  <si>
    <t>Prihodi od prodaje nefinancijske imovine-PK</t>
  </si>
  <si>
    <t>Kazne, upravne mjere i ostali prihodi</t>
  </si>
  <si>
    <t>Glava 00202</t>
  </si>
  <si>
    <t>ŠKOLSTVO</t>
  </si>
  <si>
    <t>Financijski rahodi</t>
  </si>
  <si>
    <t>Rashodi za nabavu proizvodene dugotrajne imovine</t>
  </si>
  <si>
    <t>REPUBLIKA HRVATSKA</t>
  </si>
  <si>
    <t>SISAČKO-MOSLAVAČKA ŽUPANIJA</t>
  </si>
  <si>
    <t xml:space="preserve">Indeks </t>
  </si>
  <si>
    <t>Kamate na oročena sredstva i depozite po viđenju</t>
  </si>
  <si>
    <t>Ostali prihodi</t>
  </si>
  <si>
    <t>Višak prihoda</t>
  </si>
  <si>
    <t>Tekuće donacije</t>
  </si>
  <si>
    <t>Kapitalne donacije</t>
  </si>
  <si>
    <t>Prihodi od prodaje građevinskih objekata</t>
  </si>
  <si>
    <t>Materijal i dijelovi za tekuće i investicijsko održavanje</t>
  </si>
  <si>
    <t>Usluge tekućeg i investicijskog održavanja</t>
  </si>
  <si>
    <t>Energija</t>
  </si>
  <si>
    <t>Troškovi sudskih postupaka</t>
  </si>
  <si>
    <t>Službena putovanja</t>
  </si>
  <si>
    <t>Stručno usavršavanje zaposlenika</t>
  </si>
  <si>
    <t>Uredski materijal i ostali materijalni rashodi</t>
  </si>
  <si>
    <t>Sitni inventar i auto gume</t>
  </si>
  <si>
    <t>Službena, radna i zaštitna odjeća i obuća</t>
  </si>
  <si>
    <t>Usluge telefona, pošte i prijevoza</t>
  </si>
  <si>
    <t>Usluge promidžbe i informiranja</t>
  </si>
  <si>
    <t>Komunalne usluge</t>
  </si>
  <si>
    <t>Intelektualne i osobne usluge</t>
  </si>
  <si>
    <t>Računalne usluge</t>
  </si>
  <si>
    <t>Ostale usluge</t>
  </si>
  <si>
    <t>Premije osiguranja</t>
  </si>
  <si>
    <t>Reprezentacija</t>
  </si>
  <si>
    <t>Pristojbe i naknade</t>
  </si>
  <si>
    <t>Ostali nespomenuti rashodi poslovanja</t>
  </si>
  <si>
    <t>Bankarske usluge i usluge platnog prometa</t>
  </si>
  <si>
    <t>Zatezne kamate</t>
  </si>
  <si>
    <t>Oprema za održavanje i zaštitu</t>
  </si>
  <si>
    <t>Ulaganje u računalne programe</t>
  </si>
  <si>
    <t>Sportska i glazbena oprema</t>
  </si>
  <si>
    <t>Knjige</t>
  </si>
  <si>
    <t>Uređaji, strojevi i oprema za ostale namjene</t>
  </si>
  <si>
    <t>Ostali rashodi za zaposlene</t>
  </si>
  <si>
    <t>Dodatna ulaganja na građevinskim objektima</t>
  </si>
  <si>
    <t>Višak/manjak prihoda</t>
  </si>
  <si>
    <t>Manjak prihoda</t>
  </si>
  <si>
    <t>Naknade troškova zaposlenima</t>
  </si>
  <si>
    <t>Rashodi za materijal i energiju</t>
  </si>
  <si>
    <t>Rashodi za usluge</t>
  </si>
  <si>
    <t>Postrojenja i oprema</t>
  </si>
  <si>
    <t>Materijal i sirovine</t>
  </si>
  <si>
    <t>Sitan inventari auto gume</t>
  </si>
  <si>
    <t>Zdravstvene i veterinarske usluge</t>
  </si>
  <si>
    <t>Uredska oprema i namještaj</t>
  </si>
  <si>
    <t>Članarine i norme</t>
  </si>
  <si>
    <t>Ostali financijski rashodi</t>
  </si>
  <si>
    <t>Nematerijalna proizvedena imovina</t>
  </si>
  <si>
    <t>Plaće (bruto)</t>
  </si>
  <si>
    <t>Plaće za redovan rad</t>
  </si>
  <si>
    <t>Plaće za prekovremeni rad</t>
  </si>
  <si>
    <t>Plaće za posebne uvjete rada</t>
  </si>
  <si>
    <t>Doprinosi na plaće</t>
  </si>
  <si>
    <t>Doprinosi za obvezno zdravstveno osiguranje</t>
  </si>
  <si>
    <t>Naknade za prijevoz, za rad na terenu i odvojeni život</t>
  </si>
  <si>
    <t>Ostale nakdnade građanima i kućanstvima u naravi</t>
  </si>
  <si>
    <t>Naknade građanima i kućanstvima</t>
  </si>
  <si>
    <t>Knjige, umjetnička djela i ostale izložbene vrijednosti</t>
  </si>
  <si>
    <t>Rashodi za dodatna ulaganje na nefinancijskoj imovini</t>
  </si>
  <si>
    <t>POMOĆI - PK</t>
  </si>
  <si>
    <t>Tekuće donacije u naravi</t>
  </si>
  <si>
    <t>Ostali rashodi</t>
  </si>
  <si>
    <t>5=4/2*100</t>
  </si>
  <si>
    <t>6=4/3*100</t>
  </si>
  <si>
    <t>Pomoći pororačunskim korisnicima iz proračuna koji im nije nadležan</t>
  </si>
  <si>
    <t>Tekuće pomoći proračunskim korisinicma iz proračun koji im nije nadležan</t>
  </si>
  <si>
    <t>Prihodi od financijske imovine</t>
  </si>
  <si>
    <t>Prihodi po posebnim propisima</t>
  </si>
  <si>
    <t>Ostali nespomenuti prihodi</t>
  </si>
  <si>
    <t>Prihodi od prodaje proizvoda i robe te pruženih usluga</t>
  </si>
  <si>
    <t>Prihodi od prodaje proizvoda i roba</t>
  </si>
  <si>
    <t>Prihodi od pruženih usluga</t>
  </si>
  <si>
    <t>Prihodi iz nadležnog proračuna za financiranje redovna djelatnosti proračunskih korisnika</t>
  </si>
  <si>
    <t>Prihodi iz nadležnog proračuna za financiranje rashoda poslovanja</t>
  </si>
  <si>
    <t>Prihodi iz nadležnog proračuna za financiranje rashoda za nabavu nefinancijske imovine</t>
  </si>
  <si>
    <t>Donacije od pravnih i fizičkih osoba izvan općeg proračuna</t>
  </si>
  <si>
    <t>Tekuće donacije - PK</t>
  </si>
  <si>
    <t>Kapitalne donacije - PK</t>
  </si>
  <si>
    <t>Ostali nespomunuti rashodi poslovanja</t>
  </si>
  <si>
    <t>Ostale naknade građanima i kućanstvima iz proračuna</t>
  </si>
  <si>
    <t>Naknade građanima i kućanstvima u naravi</t>
  </si>
  <si>
    <t>Tekuće donacije u novcu</t>
  </si>
  <si>
    <t>Stambeni objekti</t>
  </si>
  <si>
    <t>Pomoći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</si>
  <si>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</si>
  <si>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</si>
  <si>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</si>
  <si>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</si>
  <si>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</si>
  <si>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</si>
  <si>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</si>
  <si>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Prijedlog plana za 2023.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</si>
  <si>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</si>
  <si>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</si>
  <si>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</si>
  <si>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</si>
  <si>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UKUPNO Izvor financiranja Vlastiti prihodi</t>
  </si>
  <si>
    <t xml:space="preserve">Izvor financiranja 4 Prihodi za posebne namjene 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</si>
  <si>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</si>
  <si>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</si>
  <si>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</si>
  <si>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</si>
  <si>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</si>
  <si>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</si>
  <si>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</si>
  <si>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</si>
  <si>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</si>
  <si>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</si>
  <si>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</si>
  <si>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</si>
  <si>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</si>
  <si>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</si>
  <si>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</si>
  <si>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</si>
  <si>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</si>
  <si>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</si>
  <si>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</si>
  <si>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</si>
  <si>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</si>
  <si>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</si>
  <si>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Nematerijalna imovina</t>
  </si>
  <si>
    <t>Građevinski objekti</t>
  </si>
  <si>
    <t>UKUPNO A/Tpr./Kpr.</t>
  </si>
  <si>
    <t xml:space="preserve">Izvor financiranja  3 Vlastiti prihodi </t>
  </si>
  <si>
    <t>Plaće</t>
  </si>
  <si>
    <t xml:space="preserve">Ostali rashodi za zaposlene </t>
  </si>
  <si>
    <t>Kamate za primljene kredite i zajmove</t>
  </si>
  <si>
    <t>Izvor financiranja 6 Donacije</t>
  </si>
  <si>
    <t>Brojčana oznaka i naziv aktivnosti/tekućeg ili kapitalnog projekta</t>
  </si>
  <si>
    <t xml:space="preserve">Axxxxx3 </t>
  </si>
  <si>
    <t xml:space="preserve"> Plan 200x.</t>
  </si>
  <si>
    <t>Vlastiti prihodi</t>
  </si>
  <si>
    <t>Prihodi za posebne namjene</t>
  </si>
  <si>
    <t>Donacije</t>
  </si>
  <si>
    <t>Prihodi od nefinancijske imovine i nadoknade šteta s osnova osiguranja</t>
  </si>
  <si>
    <t>Namjenski primici od zaduživanja</t>
  </si>
  <si>
    <t xml:space="preserve"> Procjena 200x+1.</t>
  </si>
  <si>
    <t xml:space="preserve"> Procjena 200x+2.</t>
  </si>
  <si>
    <t xml:space="preserve">Axxxxx4 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</si>
  <si>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</si>
  <si>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</si>
  <si>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</si>
  <si>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</si>
  <si>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</si>
  <si>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</si>
  <si>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</si>
  <si>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</si>
  <si>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</si>
  <si>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</si>
  <si>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</si>
  <si>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</si>
  <si>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Vlastiti prihodi </t>
  </si>
  <si>
    <t xml:space="preserve">Pomoći </t>
  </si>
  <si>
    <t xml:space="preserve">Donacije </t>
  </si>
  <si>
    <t xml:space="preserve">POKRIĆE MANJKA </t>
  </si>
  <si>
    <t xml:space="preserve">Izvor financiranja 1  Opći prihodi i primici - pokriće manjka </t>
  </si>
  <si>
    <t xml:space="preserve">Rezultat poslovanja </t>
  </si>
  <si>
    <t xml:space="preserve">Manjak prihoda poslovanja </t>
  </si>
  <si>
    <t xml:space="preserve">Sveukupno rashodi tekuće godine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</si>
  <si>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</si>
  <si>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</si>
  <si>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</si>
  <si>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</si>
  <si>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>2021.</t>
  </si>
  <si>
    <t>2022.</t>
  </si>
  <si>
    <t xml:space="preserve">Opći prihodi i primici </t>
  </si>
  <si>
    <t xml:space="preserve">PRIHODI </t>
  </si>
  <si>
    <t>RASHODI</t>
  </si>
  <si>
    <t>3</t>
  </si>
  <si>
    <t xml:space="preserve">Višak korišten za rashode tekućih godina </t>
  </si>
  <si>
    <t xml:space="preserve">4 </t>
  </si>
  <si>
    <t xml:space="preserve">Prihodi za posebne namjene </t>
  </si>
  <si>
    <t xml:space="preserve">RAZLIKA  </t>
  </si>
  <si>
    <t xml:space="preserve">5 </t>
  </si>
  <si>
    <t>6</t>
  </si>
  <si>
    <t xml:space="preserve">RAZLIKA </t>
  </si>
  <si>
    <t>7</t>
  </si>
  <si>
    <t xml:space="preserve">Ukupni prihodi </t>
  </si>
  <si>
    <t>Ukupni rashodi</t>
  </si>
  <si>
    <t>MANJAK POKRIVEN TEKUĆIM PRIHODIMA</t>
  </si>
  <si>
    <t>RAZLIKA</t>
  </si>
  <si>
    <t>REZULTAT</t>
  </si>
  <si>
    <t>Indeks</t>
  </si>
  <si>
    <t>POMOĆI</t>
  </si>
  <si>
    <t>VLASTITI PRIHODI</t>
  </si>
  <si>
    <t>4</t>
  </si>
  <si>
    <t>PRIHODI ZA POSEBNE NAMJENE</t>
  </si>
  <si>
    <t>DONACIJE</t>
  </si>
  <si>
    <t>VIŠAK KORIŠTEN ZA POKRIĆE RASHODA</t>
  </si>
  <si>
    <t>MANJAK KOJI ĆE SE POKRITI U SLIJEDEĆEM PERIODU</t>
  </si>
  <si>
    <t>IZVJEŠTAJ O PRIHODIMA I RASHODIMA PREMA EKONOMSKOJ KLASIFIKACIJI</t>
  </si>
  <si>
    <t xml:space="preserve">IZVJEŠTAJ O PRIHODIMA I RASHODIMA </t>
  </si>
  <si>
    <t>Opći prhodi osnovne škole</t>
  </si>
  <si>
    <t>3.1.1</t>
  </si>
  <si>
    <t>5</t>
  </si>
  <si>
    <t>Pomoći - Agencija za plaćenje u poljoprivredi, ruralnom razvoju</t>
  </si>
  <si>
    <t>Pomoći iz gradskih i općinskih proračuna - PK</t>
  </si>
  <si>
    <t>UKUPNI PRIHODI</t>
  </si>
  <si>
    <t>6.1.1</t>
  </si>
  <si>
    <t>6.2.1</t>
  </si>
  <si>
    <t>1</t>
  </si>
  <si>
    <t>7.1.1</t>
  </si>
  <si>
    <t>VIŠAK PRIHODA</t>
  </si>
  <si>
    <t>4.3.1</t>
  </si>
  <si>
    <t>PRIJENOS VIŠKA/MANJKA U SLJEDEĆE RAZDOBLJE</t>
  </si>
  <si>
    <t>Izvršenje 2025.</t>
  </si>
  <si>
    <t>Izvorni plan ili rebalans 2026.</t>
  </si>
  <si>
    <t>Izvršenje 2026.</t>
  </si>
  <si>
    <t>Izvor 5.2.42</t>
  </si>
  <si>
    <t>Izvor 5.0.6</t>
  </si>
  <si>
    <t>Izvor 5.2.44</t>
  </si>
  <si>
    <t>Izvor 5.0.12</t>
  </si>
  <si>
    <t>Izvor 5.0.16</t>
  </si>
  <si>
    <t>POMOĆI-MINISTARSTVO REGIONALNOG RAZVJA I FONDOVA EU</t>
  </si>
  <si>
    <t>5.0.6</t>
  </si>
  <si>
    <t>5.0.12</t>
  </si>
  <si>
    <t>5.0.16</t>
  </si>
  <si>
    <t>5.2.42</t>
  </si>
  <si>
    <t>5.2.44</t>
  </si>
  <si>
    <t>Pomoći - Ministarstvo regionalnog razvoja i fondova EU</t>
  </si>
  <si>
    <t>POMOĆI-AGENCIJA ZA PLAĆANJA U POLJOPRIVREDI - ŠKOLSKA SHEMA</t>
  </si>
  <si>
    <t>Aktivnost A100022</t>
  </si>
  <si>
    <t>PROJEKTI I MEĐUNARODNA SURADNJA</t>
  </si>
  <si>
    <t>Sitni inventar i gume</t>
  </si>
  <si>
    <t>Tekuće pomoći temeljem prijenosa EU sredstava</t>
  </si>
  <si>
    <t>OSNOVNA ŠKOLA LUDINA</t>
  </si>
  <si>
    <t>Obrtnička 12, Velika Ludina</t>
  </si>
  <si>
    <t>Velika Ludina, 28.7.2026.</t>
  </si>
  <si>
    <t>POLUGODIŠNJI IZVJEŠTAJ O IZVRŠENJU FINANCIJSKOG PLANA ZA 2026. GODINU OSNOVNE ŠKOLE LUDINA</t>
  </si>
  <si>
    <t xml:space="preserve">KLASA:401-01/26-01/01   </t>
  </si>
  <si>
    <t>URBROJ: 2176-34-01-26-3</t>
  </si>
  <si>
    <t xml:space="preserve">KLASA: 401-01/26-01/01  </t>
  </si>
  <si>
    <t xml:space="preserve">URBROJ:2176-34-01-26-3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</si>
</sst>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indexed="8"/>
      <name val="Arial"/>
      <family val="2"/>
    </font>
    <font>
      <i/>
      <sz val="9"/>
      <color indexed="8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23" fillId="0" borderId="0"/>
    <xf numFmtId="0" fontId="36" fillId="0" borderId="0"/>
    <xf numFmtId="0" fontId="3" fillId="0" borderId="0"/>
  </cellStyleXfs>
  <cellXfs count="661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6" fillId="4" borderId="12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0" fillId="2" borderId="20" xfId="0" quotePrefix="1" applyFont="1" applyFill="1" applyBorder="1" applyAlignment="1">
      <alignment horizontal="left" vertical="center" wrapText="1"/>
    </xf>
    <xf numFmtId="0" fontId="0" fillId="0" borderId="15" xfId="0" applyBorder="1"/>
    <xf numFmtId="0" fontId="11" fillId="2" borderId="22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0" borderId="0" xfId="0" applyFont="1"/>
    <xf numFmtId="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0" fontId="11" fillId="2" borderId="20" xfId="0" quotePrefix="1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22" fillId="0" borderId="0" xfId="0" applyFont="1"/>
    <xf numFmtId="0" fontId="8" fillId="0" borderId="0" xfId="0" applyFont="1"/>
    <xf numFmtId="4" fontId="9" fillId="0" borderId="0" xfId="0" applyNumberFormat="1" applyFont="1"/>
    <xf numFmtId="4" fontId="8" fillId="0" borderId="0" xfId="0" applyNumberFormat="1" applyFont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6" fillId="4" borderId="3" xfId="0" quotePrefix="1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22" fillId="0" borderId="0" xfId="0" applyNumberFormat="1" applyFont="1"/>
    <xf numFmtId="4" fontId="6" fillId="4" borderId="13" xfId="0" applyNumberFormat="1" applyFont="1" applyFill="1" applyBorder="1" applyAlignment="1">
      <alignment horizontal="center" vertical="center" wrapText="1"/>
    </xf>
    <xf numFmtId="4" fontId="6" fillId="9" borderId="8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2" borderId="10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0" fillId="0" borderId="17" xfId="0" applyNumberFormat="1" applyBorder="1"/>
    <xf numFmtId="4" fontId="6" fillId="2" borderId="26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2" borderId="13" xfId="0" applyNumberFormat="1" applyFont="1" applyFill="1" applyBorder="1" applyAlignment="1">
      <alignment horizontal="right" vertical="center"/>
    </xf>
    <xf numFmtId="2" fontId="9" fillId="0" borderId="0" xfId="0" applyNumberFormat="1" applyFont="1"/>
    <xf numFmtId="2" fontId="8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/>
    <xf numFmtId="4" fontId="6" fillId="4" borderId="12" xfId="0" applyNumberFormat="1" applyFont="1" applyFill="1" applyBorder="1" applyAlignment="1">
      <alignment horizontal="center" vertical="center" wrapText="1"/>
    </xf>
    <xf numFmtId="4" fontId="17" fillId="7" borderId="8" xfId="0" applyNumberFormat="1" applyFont="1" applyFill="1" applyBorder="1" applyAlignment="1">
      <alignment vertical="center"/>
    </xf>
    <xf numFmtId="2" fontId="3" fillId="0" borderId="0" xfId="0" applyNumberFormat="1" applyFont="1" applyAlignment="1">
      <alignment vertical="center" wrapText="1"/>
    </xf>
    <xf numFmtId="4" fontId="6" fillId="2" borderId="23" xfId="0" applyNumberFormat="1" applyFont="1" applyFill="1" applyBorder="1" applyAlignment="1">
      <alignment horizontal="right"/>
    </xf>
    <xf numFmtId="4" fontId="6" fillId="2" borderId="27" xfId="0" applyNumberFormat="1" applyFont="1" applyFill="1" applyBorder="1" applyAlignment="1">
      <alignment horizontal="right" vertical="center"/>
    </xf>
    <xf numFmtId="4" fontId="6" fillId="2" borderId="21" xfId="0" applyNumberFormat="1" applyFont="1" applyFill="1" applyBorder="1" applyAlignment="1">
      <alignment horizontal="right" vertical="center"/>
    </xf>
    <xf numFmtId="4" fontId="6" fillId="2" borderId="25" xfId="0" applyNumberFormat="1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horizontal="right" vertical="center"/>
    </xf>
    <xf numFmtId="0" fontId="18" fillId="0" borderId="0" xfId="0" applyFont="1"/>
    <xf numFmtId="0" fontId="15" fillId="4" borderId="16" xfId="0" applyFont="1" applyFill="1" applyBorder="1" applyAlignment="1">
      <alignment horizontal="center" vertical="center" wrapText="1"/>
    </xf>
    <xf numFmtId="3" fontId="15" fillId="4" borderId="17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7" borderId="29" xfId="0" applyFont="1" applyFill="1" applyBorder="1" applyAlignment="1">
      <alignment horizontal="left" vertical="center" wrapText="1"/>
    </xf>
    <xf numFmtId="0" fontId="6" fillId="7" borderId="31" xfId="0" applyFont="1" applyFill="1" applyBorder="1" applyAlignment="1">
      <alignment horizontal="left" vertical="center" wrapText="1"/>
    </xf>
    <xf numFmtId="4" fontId="6" fillId="7" borderId="31" xfId="0" applyNumberFormat="1" applyFont="1" applyFill="1" applyBorder="1" applyAlignment="1">
      <alignment horizontal="right" vertical="center"/>
    </xf>
    <xf numFmtId="4" fontId="17" fillId="8" borderId="31" xfId="0" applyNumberFormat="1" applyFont="1" applyFill="1" applyBorder="1" applyAlignment="1" applyProtection="1">
      <alignment vertical="center" wrapText="1" readingOrder="1"/>
      <protection locked="0"/>
    </xf>
    <xf numFmtId="0" fontId="6" fillId="9" borderId="34" xfId="0" applyFont="1" applyFill="1" applyBorder="1" applyAlignment="1">
      <alignment horizontal="left" vertical="center" wrapText="1"/>
    </xf>
    <xf numFmtId="0" fontId="6" fillId="9" borderId="35" xfId="0" applyFont="1" applyFill="1" applyBorder="1" applyAlignment="1">
      <alignment horizontal="left" vertical="center" wrapText="1"/>
    </xf>
    <xf numFmtId="4" fontId="6" fillId="9" borderId="35" xfId="0" applyNumberFormat="1" applyFont="1" applyFill="1" applyBorder="1" applyAlignment="1">
      <alignment horizontal="right" vertical="center"/>
    </xf>
    <xf numFmtId="4" fontId="17" fillId="10" borderId="35" xfId="0" applyNumberFormat="1" applyFont="1" applyFill="1" applyBorder="1" applyAlignment="1" applyProtection="1">
      <alignment vertical="center" wrapText="1" readingOrder="1"/>
      <protection locked="0"/>
    </xf>
    <xf numFmtId="4" fontId="6" fillId="4" borderId="14" xfId="0" applyNumberFormat="1" applyFont="1" applyFill="1" applyBorder="1" applyAlignment="1">
      <alignment horizontal="center" vertical="center" wrapText="1"/>
    </xf>
    <xf numFmtId="3" fontId="15" fillId="4" borderId="19" xfId="0" applyNumberFormat="1" applyFont="1" applyFill="1" applyBorder="1" applyAlignment="1">
      <alignment horizontal="center" vertical="center" wrapText="1"/>
    </xf>
    <xf numFmtId="4" fontId="6" fillId="9" borderId="9" xfId="0" applyNumberFormat="1" applyFont="1" applyFill="1" applyBorder="1" applyAlignment="1">
      <alignment horizontal="right" vertical="center"/>
    </xf>
    <xf numFmtId="4" fontId="17" fillId="8" borderId="32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10" borderId="36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horizontal="left" vertical="center" wrapText="1"/>
    </xf>
    <xf numFmtId="0" fontId="17" fillId="4" borderId="11" xfId="0" applyFont="1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17" fillId="7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" fontId="9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4" fontId="17" fillId="8" borderId="9" xfId="0" applyNumberFormat="1" applyFont="1" applyFill="1" applyBorder="1" applyAlignment="1" applyProtection="1">
      <alignment horizontal="right" vertical="center" wrapText="1" readingOrder="1"/>
      <protection locked="0"/>
    </xf>
    <xf numFmtId="4" fontId="0" fillId="0" borderId="0" xfId="0" applyNumberFormat="1" applyAlignment="1">
      <alignment horizontal="right"/>
    </xf>
    <xf numFmtId="0" fontId="26" fillId="0" borderId="0" xfId="0" applyFont="1"/>
    <xf numFmtId="2" fontId="3" fillId="2" borderId="26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" fontId="15" fillId="4" borderId="38" xfId="0" applyNumberFormat="1" applyFont="1" applyFill="1" applyBorder="1" applyAlignment="1">
      <alignment horizontal="center" vertical="center" wrapText="1"/>
    </xf>
    <xf numFmtId="1" fontId="15" fillId="4" borderId="35" xfId="0" applyNumberFormat="1" applyFont="1" applyFill="1" applyBorder="1" applyAlignment="1">
      <alignment horizontal="center" vertical="center" wrapText="1"/>
    </xf>
    <xf numFmtId="4" fontId="15" fillId="4" borderId="39" xfId="0" applyNumberFormat="1" applyFont="1" applyFill="1" applyBorder="1" applyAlignment="1">
      <alignment horizontal="center" vertical="center" wrapText="1"/>
    </xf>
    <xf numFmtId="4" fontId="15" fillId="4" borderId="36" xfId="0" applyNumberFormat="1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2" fontId="3" fillId="2" borderId="23" xfId="0" applyNumberFormat="1" applyFont="1" applyFill="1" applyBorder="1" applyAlignment="1">
      <alignment horizontal="right"/>
    </xf>
    <xf numFmtId="0" fontId="11" fillId="2" borderId="15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vertical="center" wrapText="1"/>
    </xf>
    <xf numFmtId="2" fontId="3" fillId="2" borderId="16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4" fontId="6" fillId="2" borderId="13" xfId="0" applyNumberFormat="1" applyFont="1" applyFill="1" applyBorder="1" applyAlignment="1">
      <alignment horizontal="right"/>
    </xf>
    <xf numFmtId="4" fontId="6" fillId="2" borderId="14" xfId="0" applyNumberFormat="1" applyFont="1" applyFill="1" applyBorder="1" applyAlignment="1">
      <alignment horizontal="right"/>
    </xf>
    <xf numFmtId="4" fontId="6" fillId="2" borderId="35" xfId="0" applyNumberFormat="1" applyFont="1" applyFill="1" applyBorder="1" applyAlignment="1">
      <alignment horizontal="right"/>
    </xf>
    <xf numFmtId="4" fontId="6" fillId="2" borderId="36" xfId="0" applyNumberFormat="1" applyFont="1" applyFill="1" applyBorder="1" applyAlignment="1">
      <alignment horizontal="right"/>
    </xf>
    <xf numFmtId="0" fontId="15" fillId="4" borderId="7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1" fontId="15" fillId="4" borderId="28" xfId="0" applyNumberFormat="1" applyFont="1" applyFill="1" applyBorder="1" applyAlignment="1">
      <alignment horizontal="center" vertical="center" wrapText="1"/>
    </xf>
    <xf numFmtId="1" fontId="15" fillId="4" borderId="8" xfId="0" applyNumberFormat="1" applyFont="1" applyFill="1" applyBorder="1" applyAlignment="1">
      <alignment horizontal="center" vertical="center" wrapText="1"/>
    </xf>
    <xf numFmtId="4" fontId="15" fillId="4" borderId="41" xfId="0" applyNumberFormat="1" applyFont="1" applyFill="1" applyBorder="1" applyAlignment="1">
      <alignment horizontal="center" vertical="center" wrapText="1"/>
    </xf>
    <xf numFmtId="4" fontId="15" fillId="4" borderId="9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" fontId="15" fillId="4" borderId="31" xfId="0" applyNumberFormat="1" applyFont="1" applyFill="1" applyBorder="1" applyAlignment="1">
      <alignment horizontal="center" vertical="center" wrapText="1"/>
    </xf>
    <xf numFmtId="4" fontId="15" fillId="4" borderId="32" xfId="0" applyNumberFormat="1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left" vertical="center" wrapText="1"/>
    </xf>
    <xf numFmtId="0" fontId="25" fillId="4" borderId="13" xfId="0" applyFont="1" applyFill="1" applyBorder="1" applyAlignment="1">
      <alignment horizontal="left" vertical="center" wrapText="1"/>
    </xf>
    <xf numFmtId="4" fontId="25" fillId="4" borderId="13" xfId="0" applyNumberFormat="1" applyFont="1" applyFill="1" applyBorder="1" applyAlignment="1">
      <alignment horizontal="right" vertical="center"/>
    </xf>
    <xf numFmtId="4" fontId="27" fillId="6" borderId="13" xfId="0" applyNumberFormat="1" applyFont="1" applyFill="1" applyBorder="1" applyAlignment="1" applyProtection="1">
      <alignment vertical="center" wrapText="1" readingOrder="1"/>
      <protection locked="0"/>
    </xf>
    <xf numFmtId="4" fontId="27" fillId="6" borderId="14" xfId="0" applyNumberFormat="1" applyFont="1" applyFill="1" applyBorder="1" applyAlignment="1" applyProtection="1">
      <alignment horizontal="right" vertical="center" wrapText="1" readingOrder="1"/>
      <protection locked="0"/>
    </xf>
    <xf numFmtId="0" fontId="27" fillId="0" borderId="0" xfId="0" applyFont="1" applyAlignment="1">
      <alignment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" fontId="17" fillId="5" borderId="3" xfId="0" applyNumberFormat="1" applyFont="1" applyFill="1" applyBorder="1" applyAlignment="1" applyProtection="1">
      <alignment vertical="center" wrapText="1" readingOrder="1"/>
      <protection locked="0"/>
    </xf>
    <xf numFmtId="4" fontId="17" fillId="5" borderId="21" xfId="0" applyNumberFormat="1" applyFont="1" applyFill="1" applyBorder="1" applyAlignment="1" applyProtection="1">
      <alignment horizontal="right" vertical="center" wrapText="1" readingOrder="1"/>
      <protection locked="0"/>
    </xf>
    <xf numFmtId="0" fontId="25" fillId="4" borderId="20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left" vertical="center" wrapText="1"/>
    </xf>
    <xf numFmtId="4" fontId="25" fillId="4" borderId="3" xfId="0" applyNumberFormat="1" applyFont="1" applyFill="1" applyBorder="1" applyAlignment="1">
      <alignment horizontal="right" vertical="center"/>
    </xf>
    <xf numFmtId="4" fontId="27" fillId="6" borderId="3" xfId="0" applyNumberFormat="1" applyFont="1" applyFill="1" applyBorder="1" applyAlignment="1" applyProtection="1">
      <alignment vertical="center" wrapText="1" readingOrder="1"/>
      <protection locked="0"/>
    </xf>
    <xf numFmtId="4" fontId="27" fillId="6" borderId="21" xfId="0" applyNumberFormat="1" applyFont="1" applyFill="1" applyBorder="1" applyAlignment="1" applyProtection="1">
      <alignment horizontal="right" vertical="center" wrapText="1" readingOrder="1"/>
      <protection locked="0"/>
    </xf>
    <xf numFmtId="0" fontId="27" fillId="4" borderId="20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vertical="center" wrapText="1"/>
    </xf>
    <xf numFmtId="4" fontId="27" fillId="4" borderId="3" xfId="0" applyNumberFormat="1" applyFont="1" applyFill="1" applyBorder="1" applyAlignment="1">
      <alignment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4" fontId="17" fillId="0" borderId="3" xfId="0" applyNumberFormat="1" applyFont="1" applyBorder="1" applyAlignment="1">
      <alignment vertical="center"/>
    </xf>
    <xf numFmtId="0" fontId="27" fillId="4" borderId="22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vertical="center" wrapText="1"/>
    </xf>
    <xf numFmtId="4" fontId="27" fillId="4" borderId="10" xfId="0" applyNumberFormat="1" applyFont="1" applyFill="1" applyBorder="1" applyAlignment="1">
      <alignment vertical="center"/>
    </xf>
    <xf numFmtId="4" fontId="27" fillId="6" borderId="10" xfId="0" applyNumberFormat="1" applyFont="1" applyFill="1" applyBorder="1" applyAlignment="1" applyProtection="1">
      <alignment vertical="center" wrapText="1" readingOrder="1"/>
      <protection locked="0"/>
    </xf>
    <xf numFmtId="4" fontId="27" fillId="6" borderId="23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5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27" fillId="4" borderId="11" xfId="0" applyFont="1" applyFill="1" applyBorder="1" applyAlignment="1">
      <alignment horizontal="left" vertical="center" wrapText="1"/>
    </xf>
    <xf numFmtId="0" fontId="27" fillId="4" borderId="13" xfId="0" applyFont="1" applyFill="1" applyBorder="1" applyAlignment="1">
      <alignment vertical="center" wrapText="1"/>
    </xf>
    <xf numFmtId="4" fontId="27" fillId="4" borderId="13" xfId="0" applyNumberFormat="1" applyFont="1" applyFill="1" applyBorder="1" applyAlignment="1">
      <alignment vertical="center"/>
    </xf>
    <xf numFmtId="4" fontId="28" fillId="2" borderId="17" xfId="0" applyNumberFormat="1" applyFont="1" applyFill="1" applyBorder="1" applyAlignment="1">
      <alignment horizontal="right" vertical="center"/>
    </xf>
    <xf numFmtId="4" fontId="29" fillId="2" borderId="3" xfId="0" applyNumberFormat="1" applyFont="1" applyFill="1" applyBorder="1" applyAlignment="1">
      <alignment horizontal="right" vertical="center"/>
    </xf>
    <xf numFmtId="4" fontId="28" fillId="2" borderId="3" xfId="0" applyNumberFormat="1" applyFont="1" applyFill="1" applyBorder="1" applyAlignment="1">
      <alignment horizontal="right" vertical="center"/>
    </xf>
    <xf numFmtId="1" fontId="15" fillId="4" borderId="30" xfId="0" applyNumberFormat="1" applyFont="1" applyFill="1" applyBorder="1" applyAlignment="1">
      <alignment horizontal="center" vertical="center" wrapText="1"/>
    </xf>
    <xf numFmtId="1" fontId="15" fillId="4" borderId="31" xfId="0" applyNumberFormat="1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4" fontId="29" fillId="2" borderId="4" xfId="0" applyNumberFormat="1" applyFont="1" applyFill="1" applyBorder="1" applyAlignment="1">
      <alignment horizontal="right" vertical="center"/>
    </xf>
    <xf numFmtId="4" fontId="29" fillId="2" borderId="26" xfId="0" applyNumberFormat="1" applyFont="1" applyFill="1" applyBorder="1" applyAlignment="1">
      <alignment horizontal="right" vertical="center"/>
    </xf>
    <xf numFmtId="4" fontId="29" fillId="2" borderId="21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1" fillId="2" borderId="20" xfId="0" quotePrefix="1" applyFont="1" applyFill="1" applyBorder="1" applyAlignment="1">
      <alignment horizontal="left" vertical="center"/>
    </xf>
    <xf numFmtId="0" fontId="31" fillId="2" borderId="3" xfId="0" quotePrefix="1" applyFont="1" applyFill="1" applyBorder="1" applyAlignment="1">
      <alignment horizontal="left" vertical="center"/>
    </xf>
    <xf numFmtId="0" fontId="32" fillId="2" borderId="3" xfId="0" quotePrefix="1" applyFont="1" applyFill="1" applyBorder="1" applyAlignment="1">
      <alignment horizontal="left" vertical="center"/>
    </xf>
    <xf numFmtId="0" fontId="32" fillId="2" borderId="3" xfId="0" quotePrefix="1" applyFont="1" applyFill="1" applyBorder="1" applyAlignment="1">
      <alignment horizontal="left" vertical="center" wrapText="1"/>
    </xf>
    <xf numFmtId="4" fontId="28" fillId="2" borderId="4" xfId="0" applyNumberFormat="1" applyFont="1" applyFill="1" applyBorder="1" applyAlignment="1">
      <alignment horizontal="right" vertical="center"/>
    </xf>
    <xf numFmtId="4" fontId="28" fillId="2" borderId="21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8" fillId="2" borderId="25" xfId="0" applyNumberFormat="1" applyFont="1" applyFill="1" applyBorder="1" applyAlignment="1">
      <alignment horizontal="right" vertical="center"/>
    </xf>
    <xf numFmtId="4" fontId="29" fillId="2" borderId="25" xfId="0" applyNumberFormat="1" applyFont="1" applyFill="1" applyBorder="1" applyAlignment="1">
      <alignment horizontal="righ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24" fillId="2" borderId="20" xfId="0" quotePrefix="1" applyFont="1" applyFill="1" applyBorder="1" applyAlignment="1">
      <alignment horizontal="left" vertical="center"/>
    </xf>
    <xf numFmtId="0" fontId="24" fillId="2" borderId="3" xfId="0" quotePrefix="1" applyFont="1" applyFill="1" applyBorder="1" applyAlignment="1">
      <alignment horizontal="left" vertical="center"/>
    </xf>
    <xf numFmtId="0" fontId="24" fillId="2" borderId="3" xfId="0" quotePrefix="1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vertical="center" wrapText="1"/>
    </xf>
    <xf numFmtId="0" fontId="31" fillId="2" borderId="20" xfId="0" applyFont="1" applyFill="1" applyBorder="1" applyAlignment="1">
      <alignment horizontal="left" vertical="center" wrapText="1"/>
    </xf>
    <xf numFmtId="0" fontId="31" fillId="2" borderId="3" xfId="0" applyFont="1" applyFill="1" applyBorder="1" applyAlignment="1">
      <alignment horizontal="left" vertical="center" wrapText="1"/>
    </xf>
    <xf numFmtId="4" fontId="28" fillId="2" borderId="21" xfId="0" applyNumberFormat="1" applyFont="1" applyFill="1" applyBorder="1" applyAlignment="1">
      <alignment horizontal="right" vertical="center" wrapText="1"/>
    </xf>
    <xf numFmtId="0" fontId="31" fillId="2" borderId="24" xfId="0" applyFont="1" applyFill="1" applyBorder="1" applyAlignment="1">
      <alignment horizontal="left" vertical="center" wrapText="1"/>
    </xf>
    <xf numFmtId="0" fontId="31" fillId="2" borderId="6" xfId="0" applyFont="1" applyFill="1" applyBorder="1" applyAlignment="1">
      <alignment horizontal="left" vertical="center" wrapText="1"/>
    </xf>
    <xf numFmtId="4" fontId="28" fillId="2" borderId="33" xfId="0" applyNumberFormat="1" applyFont="1" applyFill="1" applyBorder="1" applyAlignment="1">
      <alignment horizontal="right" vertical="center"/>
    </xf>
    <xf numFmtId="0" fontId="31" fillId="2" borderId="15" xfId="0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2" fillId="2" borderId="17" xfId="0" quotePrefix="1" applyFont="1" applyFill="1" applyBorder="1" applyAlignment="1">
      <alignment horizontal="left" vertical="center" wrapText="1"/>
    </xf>
    <xf numFmtId="4" fontId="28" fillId="2" borderId="16" xfId="0" applyNumberFormat="1" applyFont="1" applyFill="1" applyBorder="1" applyAlignment="1">
      <alignment horizontal="right" vertical="center"/>
    </xf>
    <xf numFmtId="4" fontId="28" fillId="2" borderId="19" xfId="0" applyNumberFormat="1" applyFont="1" applyFill="1" applyBorder="1" applyAlignment="1">
      <alignment horizontal="right" vertical="center" wrapText="1"/>
    </xf>
    <xf numFmtId="0" fontId="32" fillId="2" borderId="6" xfId="0" quotePrefix="1" applyFont="1" applyFill="1" applyBorder="1" applyAlignment="1">
      <alignment horizontal="left" vertical="center" wrapText="1"/>
    </xf>
    <xf numFmtId="4" fontId="29" fillId="2" borderId="40" xfId="0" applyNumberFormat="1" applyFont="1" applyFill="1" applyBorder="1" applyAlignment="1">
      <alignment horizontal="right" vertical="center"/>
    </xf>
    <xf numFmtId="4" fontId="28" fillId="2" borderId="42" xfId="0" applyNumberFormat="1" applyFont="1" applyFill="1" applyBorder="1" applyAlignment="1">
      <alignment horizontal="right" vertical="center"/>
    </xf>
    <xf numFmtId="0" fontId="14" fillId="0" borderId="2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4" fontId="14" fillId="0" borderId="3" xfId="0" applyNumberFormat="1" applyFont="1" applyBorder="1" applyAlignment="1">
      <alignment vertical="center"/>
    </xf>
    <xf numFmtId="4" fontId="14" fillId="0" borderId="21" xfId="0" applyNumberFormat="1" applyFont="1" applyBorder="1" applyAlignment="1">
      <alignment vertical="center"/>
    </xf>
    <xf numFmtId="0" fontId="14" fillId="0" borderId="20" xfId="0" applyFont="1" applyBorder="1"/>
    <xf numFmtId="0" fontId="14" fillId="0" borderId="3" xfId="0" applyFont="1" applyBorder="1"/>
    <xf numFmtId="4" fontId="14" fillId="0" borderId="3" xfId="0" applyNumberFormat="1" applyFont="1" applyBorder="1"/>
    <xf numFmtId="4" fontId="14" fillId="0" borderId="21" xfId="0" applyNumberFormat="1" applyFont="1" applyBorder="1"/>
    <xf numFmtId="0" fontId="33" fillId="0" borderId="0" xfId="0" applyFont="1"/>
    <xf numFmtId="0" fontId="35" fillId="0" borderId="3" xfId="0" applyFont="1" applyBorder="1"/>
    <xf numFmtId="0" fontId="3" fillId="2" borderId="15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4" fontId="3" fillId="2" borderId="17" xfId="0" applyNumberFormat="1" applyFont="1" applyFill="1" applyBorder="1" applyAlignment="1">
      <alignment horizontal="right" vertical="center"/>
    </xf>
    <xf numFmtId="4" fontId="16" fillId="5" borderId="17" xfId="0" applyNumberFormat="1" applyFont="1" applyFill="1" applyBorder="1" applyAlignment="1" applyProtection="1">
      <alignment vertical="center" wrapText="1" readingOrder="1"/>
      <protection locked="0"/>
    </xf>
    <xf numFmtId="4" fontId="16" fillId="5" borderId="21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16" fillId="5" borderId="3" xfId="0" applyNumberFormat="1" applyFont="1" applyFill="1" applyBorder="1" applyAlignment="1" applyProtection="1">
      <alignment vertical="center" wrapText="1" readingOrder="1"/>
      <protection locked="0"/>
    </xf>
    <xf numFmtId="0" fontId="3" fillId="2" borderId="2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/>
    </xf>
    <xf numFmtId="4" fontId="16" fillId="5" borderId="6" xfId="0" applyNumberFormat="1" applyFont="1" applyFill="1" applyBorder="1" applyAlignment="1" applyProtection="1">
      <alignment vertical="center" wrapText="1" readingOrder="1"/>
      <protection locked="0"/>
    </xf>
    <xf numFmtId="4" fontId="16" fillId="5" borderId="37" xfId="0" applyNumberFormat="1" applyFont="1" applyFill="1" applyBorder="1" applyAlignment="1" applyProtection="1">
      <alignment horizontal="right" vertical="center" wrapText="1" readingOrder="1"/>
      <protection locked="0"/>
    </xf>
    <xf numFmtId="0" fontId="16" fillId="0" borderId="20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4" fontId="16" fillId="0" borderId="3" xfId="0" applyNumberFormat="1" applyFont="1" applyBorder="1" applyAlignment="1">
      <alignment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7" xfId="0" applyFont="1" applyBorder="1" applyAlignment="1">
      <alignment vertical="center" wrapText="1"/>
    </xf>
    <xf numFmtId="4" fontId="16" fillId="0" borderId="17" xfId="0" applyNumberFormat="1" applyFont="1" applyBorder="1" applyAlignment="1">
      <alignment vertical="center"/>
    </xf>
    <xf numFmtId="4" fontId="16" fillId="5" borderId="19" xfId="0" applyNumberFormat="1" applyFont="1" applyFill="1" applyBorder="1" applyAlignment="1" applyProtection="1">
      <alignment horizontal="right" vertical="center" wrapText="1" readingOrder="1"/>
      <protection locked="0"/>
    </xf>
    <xf numFmtId="1" fontId="15" fillId="4" borderId="16" xfId="0" applyNumberFormat="1" applyFont="1" applyFill="1" applyBorder="1" applyAlignment="1">
      <alignment horizontal="center" vertical="center" wrapText="1"/>
    </xf>
    <xf numFmtId="4" fontId="6" fillId="9" borderId="41" xfId="0" applyNumberFormat="1" applyFont="1" applyFill="1" applyBorder="1" applyAlignment="1">
      <alignment horizontal="right" vertical="center"/>
    </xf>
    <xf numFmtId="4" fontId="6" fillId="7" borderId="44" xfId="0" applyNumberFormat="1" applyFont="1" applyFill="1" applyBorder="1" applyAlignment="1">
      <alignment horizontal="right" vertical="center"/>
    </xf>
    <xf numFmtId="4" fontId="17" fillId="5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2" fillId="0" borderId="0" xfId="0" applyNumberFormat="1" applyFont="1" applyAlignment="1">
      <alignment horizontal="right" vertical="center" wrapText="1"/>
    </xf>
    <xf numFmtId="3" fontId="15" fillId="4" borderId="18" xfId="0" applyNumberFormat="1" applyFont="1" applyFill="1" applyBorder="1" applyAlignment="1">
      <alignment horizontal="right" vertical="center" wrapText="1"/>
    </xf>
    <xf numFmtId="4" fontId="17" fillId="8" borderId="44" xfId="0" applyNumberFormat="1" applyFont="1" applyFill="1" applyBorder="1" applyAlignment="1" applyProtection="1">
      <alignment horizontal="right" vertical="center" wrapText="1" readingOrder="1"/>
      <protection locked="0"/>
    </xf>
    <xf numFmtId="4" fontId="27" fillId="6" borderId="43" xfId="0" applyNumberFormat="1" applyFont="1" applyFill="1" applyBorder="1" applyAlignment="1" applyProtection="1">
      <alignment horizontal="right" vertical="center" wrapText="1" readingOrder="1"/>
      <protection locked="0"/>
    </xf>
    <xf numFmtId="4" fontId="16" fillId="5" borderId="18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10" borderId="39" xfId="0" applyNumberFormat="1" applyFont="1" applyFill="1" applyBorder="1" applyAlignment="1" applyProtection="1">
      <alignment horizontal="right" vertical="center" wrapText="1" readingOrder="1"/>
      <protection locked="0"/>
    </xf>
    <xf numFmtId="4" fontId="16" fillId="5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16" fillId="5" borderId="45" xfId="0" applyNumberFormat="1" applyFont="1" applyFill="1" applyBorder="1" applyAlignment="1" applyProtection="1">
      <alignment horizontal="right" vertical="center" wrapText="1" readingOrder="1"/>
      <protection locked="0"/>
    </xf>
    <xf numFmtId="4" fontId="27" fillId="6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7" borderId="41" xfId="0" applyNumberFormat="1" applyFont="1" applyFill="1" applyBorder="1" applyAlignment="1">
      <alignment horizontal="right" vertical="center"/>
    </xf>
    <xf numFmtId="4" fontId="27" fillId="6" borderId="46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0" borderId="1" xfId="0" applyNumberFormat="1" applyFont="1" applyBorder="1" applyAlignment="1">
      <alignment horizontal="right" vertical="center"/>
    </xf>
    <xf numFmtId="4" fontId="17" fillId="8" borderId="41" xfId="0" applyNumberFormat="1" applyFont="1" applyFill="1" applyBorder="1" applyAlignment="1" applyProtection="1">
      <alignment horizontal="right" vertical="center" wrapText="1" readingOrder="1"/>
      <protection locked="0"/>
    </xf>
    <xf numFmtId="0" fontId="37" fillId="0" borderId="0" xfId="3" applyFont="1" applyAlignment="1">
      <alignment vertical="center" wrapText="1"/>
    </xf>
    <xf numFmtId="3" fontId="39" fillId="0" borderId="0" xfId="3" applyNumberFormat="1" applyFont="1"/>
    <xf numFmtId="3" fontId="37" fillId="0" borderId="0" xfId="3" applyNumberFormat="1" applyFont="1" applyAlignment="1">
      <alignment vertical="center"/>
    </xf>
    <xf numFmtId="49" fontId="40" fillId="0" borderId="0" xfId="3" applyNumberFormat="1" applyFont="1"/>
    <xf numFmtId="49" fontId="39" fillId="0" borderId="0" xfId="3" applyNumberFormat="1" applyFont="1" applyAlignment="1">
      <alignment horizontal="center"/>
    </xf>
    <xf numFmtId="49" fontId="39" fillId="0" borderId="0" xfId="3" applyNumberFormat="1" applyFont="1"/>
    <xf numFmtId="0" fontId="37" fillId="0" borderId="6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0" fontId="40" fillId="0" borderId="47" xfId="3" applyFont="1" applyBorder="1" applyAlignment="1">
      <alignment horizontal="center" vertical="center"/>
    </xf>
    <xf numFmtId="0" fontId="40" fillId="0" borderId="48" xfId="3" applyFont="1" applyBorder="1" applyAlignment="1">
      <alignment horizontal="left" vertical="center" wrapText="1"/>
    </xf>
    <xf numFmtId="3" fontId="40" fillId="0" borderId="48" xfId="3" applyNumberFormat="1" applyFont="1" applyBorder="1" applyAlignment="1">
      <alignment horizontal="right" vertical="center"/>
    </xf>
    <xf numFmtId="3" fontId="40" fillId="0" borderId="49" xfId="3" applyNumberFormat="1" applyFont="1" applyBorder="1" applyAlignment="1">
      <alignment horizontal="right" vertical="center"/>
    </xf>
    <xf numFmtId="0" fontId="41" fillId="0" borderId="50" xfId="3" applyFont="1" applyBorder="1" applyAlignment="1">
      <alignment horizontal="center" vertical="center"/>
    </xf>
    <xf numFmtId="0" fontId="41" fillId="0" borderId="51" xfId="3" applyFont="1" applyBorder="1" applyAlignment="1">
      <alignment horizontal="left" vertical="center" wrapText="1"/>
    </xf>
    <xf numFmtId="0" fontId="41" fillId="0" borderId="53" xfId="3" applyFont="1" applyBorder="1" applyAlignment="1">
      <alignment horizontal="center" vertical="center"/>
    </xf>
    <xf numFmtId="0" fontId="41" fillId="0" borderId="54" xfId="3" applyFont="1" applyBorder="1" applyAlignment="1">
      <alignment horizontal="left" vertical="center" wrapText="1"/>
    </xf>
    <xf numFmtId="49" fontId="40" fillId="0" borderId="4" xfId="3" quotePrefix="1" applyNumberFormat="1" applyFont="1" applyBorder="1" applyAlignment="1">
      <alignment horizontal="left" vertical="center"/>
    </xf>
    <xf numFmtId="3" fontId="40" fillId="0" borderId="3" xfId="3" applyNumberFormat="1" applyFont="1" applyBorder="1" applyAlignment="1">
      <alignment horizontal="right" vertical="center"/>
    </xf>
    <xf numFmtId="3" fontId="40" fillId="0" borderId="0" xfId="3" quotePrefix="1" applyNumberFormat="1" applyFont="1" applyAlignment="1">
      <alignment horizontal="center" vertical="center"/>
    </xf>
    <xf numFmtId="3" fontId="40" fillId="0" borderId="0" xfId="3" applyNumberFormat="1" applyFont="1" applyAlignment="1">
      <alignment horizontal="right" vertical="center"/>
    </xf>
    <xf numFmtId="0" fontId="40" fillId="0" borderId="50" xfId="3" applyFont="1" applyBorder="1" applyAlignment="1">
      <alignment horizontal="center" vertical="center"/>
    </xf>
    <xf numFmtId="0" fontId="40" fillId="0" borderId="51" xfId="3" applyFont="1" applyBorder="1" applyAlignment="1">
      <alignment horizontal="left" vertical="center" wrapText="1"/>
    </xf>
    <xf numFmtId="3" fontId="40" fillId="0" borderId="51" xfId="3" applyNumberFormat="1" applyFont="1" applyBorder="1" applyAlignment="1">
      <alignment horizontal="right" vertical="center"/>
    </xf>
    <xf numFmtId="3" fontId="40" fillId="0" borderId="52" xfId="3" applyNumberFormat="1" applyFont="1" applyBorder="1" applyAlignment="1">
      <alignment horizontal="right" vertical="center"/>
    </xf>
    <xf numFmtId="3" fontId="40" fillId="0" borderId="0" xfId="3" applyNumberFormat="1" applyFont="1"/>
    <xf numFmtId="3" fontId="37" fillId="0" borderId="2" xfId="3" quotePrefix="1" applyNumberFormat="1" applyFont="1" applyBorder="1" applyAlignment="1">
      <alignment horizontal="center" vertical="center" wrapText="1"/>
    </xf>
    <xf numFmtId="3" fontId="39" fillId="0" borderId="0" xfId="3" applyNumberFormat="1" applyFont="1" applyAlignment="1">
      <alignment horizontal="center" vertical="center" wrapText="1"/>
    </xf>
    <xf numFmtId="3" fontId="37" fillId="0" borderId="0" xfId="3" quotePrefix="1" applyNumberFormat="1" applyFont="1" applyAlignment="1">
      <alignment horizontal="center" vertical="center" wrapText="1"/>
    </xf>
    <xf numFmtId="3" fontId="40" fillId="0" borderId="0" xfId="3" applyNumberFormat="1" applyFont="1" applyAlignment="1">
      <alignment horizontal="right"/>
    </xf>
    <xf numFmtId="3" fontId="37" fillId="0" borderId="0" xfId="3" applyNumberFormat="1" applyFont="1"/>
    <xf numFmtId="3" fontId="41" fillId="0" borderId="0" xfId="3" applyNumberFormat="1" applyFont="1" applyAlignment="1">
      <alignment horizontal="right" vertical="center"/>
    </xf>
    <xf numFmtId="3" fontId="40" fillId="0" borderId="4" xfId="3" quotePrefix="1" applyNumberFormat="1" applyFont="1" applyBorder="1" applyAlignment="1">
      <alignment horizontal="left" vertical="center"/>
    </xf>
    <xf numFmtId="0" fontId="39" fillId="0" borderId="0" xfId="3" applyFont="1" applyAlignment="1">
      <alignment horizontal="center" wrapText="1"/>
    </xf>
    <xf numFmtId="0" fontId="37" fillId="0" borderId="0" xfId="3" applyFont="1"/>
    <xf numFmtId="49" fontId="40" fillId="0" borderId="4" xfId="3" quotePrefix="1" applyNumberFormat="1" applyFont="1" applyBorder="1" applyAlignment="1">
      <alignment horizontal="left" vertical="center" wrapText="1"/>
    </xf>
    <xf numFmtId="49" fontId="40" fillId="0" borderId="0" xfId="3" quotePrefix="1" applyNumberFormat="1" applyFont="1" applyAlignment="1">
      <alignment horizontal="center" vertical="center" wrapText="1"/>
    </xf>
    <xf numFmtId="0" fontId="40" fillId="0" borderId="0" xfId="3" quotePrefix="1" applyFont="1" applyAlignment="1">
      <alignment horizontal="left" vertical="center"/>
    </xf>
    <xf numFmtId="49" fontId="39" fillId="0" borderId="0" xfId="3" applyNumberFormat="1" applyFont="1" applyAlignment="1">
      <alignment vertical="center"/>
    </xf>
    <xf numFmtId="3" fontId="40" fillId="0" borderId="4" xfId="3" quotePrefix="1" applyNumberFormat="1" applyFont="1" applyBorder="1" applyAlignment="1">
      <alignment horizontal="center" vertical="center"/>
    </xf>
    <xf numFmtId="3" fontId="40" fillId="0" borderId="3" xfId="3" applyNumberFormat="1" applyFont="1" applyBorder="1" applyAlignment="1">
      <alignment vertical="center"/>
    </xf>
    <xf numFmtId="0" fontId="37" fillId="0" borderId="0" xfId="3" applyFont="1" applyAlignment="1">
      <alignment wrapText="1"/>
    </xf>
    <xf numFmtId="3" fontId="37" fillId="0" borderId="0" xfId="3" quotePrefix="1" applyNumberFormat="1" applyFont="1" applyAlignment="1">
      <alignment vertical="center" wrapText="1"/>
    </xf>
    <xf numFmtId="3" fontId="39" fillId="0" borderId="0" xfId="3" applyNumberFormat="1" applyFont="1" applyAlignment="1">
      <alignment horizontal="left"/>
    </xf>
    <xf numFmtId="3" fontId="37" fillId="0" borderId="0" xfId="3" quotePrefix="1" applyNumberFormat="1" applyFont="1" applyAlignment="1">
      <alignment horizontal="left"/>
    </xf>
    <xf numFmtId="3" fontId="40" fillId="0" borderId="0" xfId="3" quotePrefix="1" applyNumberFormat="1" applyFont="1" applyAlignment="1">
      <alignment horizontal="left" vertical="center"/>
    </xf>
    <xf numFmtId="3" fontId="40" fillId="0" borderId="0" xfId="3" applyNumberFormat="1" applyFont="1" applyAlignment="1">
      <alignment vertical="center"/>
    </xf>
    <xf numFmtId="0" fontId="40" fillId="0" borderId="50" xfId="3" applyFont="1" applyBorder="1" applyAlignment="1">
      <alignment horizontal="center"/>
    </xf>
    <xf numFmtId="0" fontId="41" fillId="0" borderId="50" xfId="3" applyFont="1" applyBorder="1" applyAlignment="1">
      <alignment horizontal="center"/>
    </xf>
    <xf numFmtId="3" fontId="41" fillId="0" borderId="0" xfId="3" applyNumberFormat="1" applyFont="1" applyAlignment="1">
      <alignment vertical="center"/>
    </xf>
    <xf numFmtId="3" fontId="41" fillId="0" borderId="0" xfId="3" applyNumberFormat="1" applyFont="1"/>
    <xf numFmtId="3" fontId="40" fillId="0" borderId="4" xfId="3" applyNumberFormat="1" applyFont="1" applyBorder="1" applyAlignment="1">
      <alignment horizontal="right" vertical="center"/>
    </xf>
    <xf numFmtId="0" fontId="40" fillId="0" borderId="47" xfId="3" applyFont="1" applyBorder="1" applyAlignment="1">
      <alignment horizontal="center"/>
    </xf>
    <xf numFmtId="3" fontId="40" fillId="0" borderId="57" xfId="3" applyNumberFormat="1" applyFont="1" applyBorder="1" applyAlignment="1">
      <alignment horizontal="right"/>
    </xf>
    <xf numFmtId="3" fontId="40" fillId="0" borderId="48" xfId="3" applyNumberFormat="1" applyFont="1" applyBorder="1" applyAlignment="1">
      <alignment horizontal="right"/>
    </xf>
    <xf numFmtId="3" fontId="39" fillId="0" borderId="51" xfId="3" applyNumberFormat="1" applyFont="1" applyBorder="1"/>
    <xf numFmtId="0" fontId="40" fillId="0" borderId="51" xfId="4" applyFont="1" applyBorder="1" applyAlignment="1">
      <alignment horizontal="left" vertical="center" wrapText="1"/>
    </xf>
    <xf numFmtId="0" fontId="39" fillId="0" borderId="50" xfId="3" applyFont="1" applyBorder="1" applyAlignment="1">
      <alignment horizontal="center" vertical="center"/>
    </xf>
    <xf numFmtId="0" fontId="39" fillId="0" borderId="51" xfId="3" applyFont="1" applyBorder="1" applyAlignment="1">
      <alignment horizontal="left" vertical="center" wrapText="1"/>
    </xf>
    <xf numFmtId="3" fontId="39" fillId="0" borderId="51" xfId="3" applyNumberFormat="1" applyFont="1" applyBorder="1" applyAlignment="1">
      <alignment horizontal="right"/>
    </xf>
    <xf numFmtId="3" fontId="39" fillId="0" borderId="58" xfId="3" applyNumberFormat="1" applyFont="1" applyBorder="1"/>
    <xf numFmtId="3" fontId="39" fillId="0" borderId="59" xfId="3" applyNumberFormat="1" applyFont="1" applyBorder="1"/>
    <xf numFmtId="3" fontId="39" fillId="0" borderId="52" xfId="3" applyNumberFormat="1" applyFont="1" applyBorder="1"/>
    <xf numFmtId="0" fontId="39" fillId="0" borderId="53" xfId="3" applyFont="1" applyBorder="1" applyAlignment="1">
      <alignment horizontal="center" vertical="center"/>
    </xf>
    <xf numFmtId="0" fontId="39" fillId="0" borderId="54" xfId="3" applyFont="1" applyBorder="1" applyAlignment="1">
      <alignment horizontal="left" vertical="center" wrapText="1"/>
    </xf>
    <xf numFmtId="3" fontId="39" fillId="0" borderId="54" xfId="3" applyNumberFormat="1" applyFont="1" applyBorder="1" applyAlignment="1">
      <alignment horizontal="right"/>
    </xf>
    <xf numFmtId="3" fontId="39" fillId="0" borderId="54" xfId="3" applyNumberFormat="1" applyFont="1" applyBorder="1"/>
    <xf numFmtId="3" fontId="39" fillId="0" borderId="54" xfId="3" applyNumberFormat="1" applyFont="1" applyBorder="1" applyAlignment="1">
      <alignment horizontal="right" vertical="center"/>
    </xf>
    <xf numFmtId="3" fontId="39" fillId="0" borderId="55" xfId="3" applyNumberFormat="1" applyFont="1" applyBorder="1"/>
    <xf numFmtId="3" fontId="40" fillId="0" borderId="56" xfId="3" quotePrefix="1" applyNumberFormat="1" applyFont="1" applyBorder="1" applyAlignment="1">
      <alignment horizontal="center" vertical="center"/>
    </xf>
    <xf numFmtId="3" fontId="39" fillId="0" borderId="51" xfId="3" applyNumberFormat="1" applyFont="1" applyBorder="1" applyAlignment="1">
      <alignment horizontal="right" vertical="center"/>
    </xf>
    <xf numFmtId="3" fontId="40" fillId="0" borderId="0" xfId="3" applyNumberFormat="1" applyFont="1" applyAlignment="1">
      <alignment horizontal="center" vertical="center"/>
    </xf>
    <xf numFmtId="0" fontId="40" fillId="0" borderId="4" xfId="3" quotePrefix="1" applyFont="1" applyBorder="1" applyAlignment="1">
      <alignment horizontal="center" vertical="center"/>
    </xf>
    <xf numFmtId="3" fontId="39" fillId="0" borderId="0" xfId="3" applyNumberFormat="1" applyFont="1" applyAlignment="1">
      <alignment vertical="center"/>
    </xf>
    <xf numFmtId="0" fontId="40" fillId="0" borderId="56" xfId="3" quotePrefix="1" applyFont="1" applyBorder="1" applyAlignment="1">
      <alignment horizontal="center" vertical="center"/>
    </xf>
    <xf numFmtId="0" fontId="40" fillId="0" borderId="0" xfId="3" quotePrefix="1" applyFont="1" applyAlignment="1">
      <alignment horizontal="center" vertical="center"/>
    </xf>
    <xf numFmtId="3" fontId="40" fillId="0" borderId="0" xfId="3" applyNumberFormat="1" applyFont="1" applyAlignment="1">
      <alignment horizontal="center"/>
    </xf>
    <xf numFmtId="3" fontId="39" fillId="0" borderId="0" xfId="3" applyNumberFormat="1" applyFont="1" applyAlignment="1">
      <alignment horizontal="right" vertical="center"/>
    </xf>
    <xf numFmtId="3" fontId="40" fillId="0" borderId="26" xfId="3" quotePrefix="1" applyNumberFormat="1" applyFont="1" applyBorder="1" applyAlignment="1">
      <alignment horizontal="center" vertical="center"/>
    </xf>
    <xf numFmtId="3" fontId="39" fillId="0" borderId="0" xfId="3" applyNumberFormat="1" applyFont="1" applyAlignment="1">
      <alignment horizontal="left" vertical="center"/>
    </xf>
    <xf numFmtId="3" fontId="37" fillId="0" borderId="0" xfId="3" applyNumberFormat="1" applyFont="1" applyAlignment="1">
      <alignment horizontal="center" vertical="center" wrapText="1"/>
    </xf>
    <xf numFmtId="3" fontId="37" fillId="0" borderId="0" xfId="3" quotePrefix="1" applyNumberFormat="1" applyFont="1" applyAlignment="1">
      <alignment horizontal="left" vertical="center" wrapText="1"/>
    </xf>
    <xf numFmtId="3" fontId="40" fillId="0" borderId="0" xfId="3" applyNumberFormat="1" applyFont="1" applyAlignment="1">
      <alignment vertical="center" wrapText="1"/>
    </xf>
    <xf numFmtId="3" fontId="40" fillId="0" borderId="3" xfId="3" applyNumberFormat="1" applyFont="1" applyBorder="1"/>
    <xf numFmtId="3" fontId="40" fillId="0" borderId="4" xfId="3" applyNumberFormat="1" applyFont="1" applyBorder="1"/>
    <xf numFmtId="3" fontId="40" fillId="2" borderId="0" xfId="3" quotePrefix="1" applyNumberFormat="1" applyFont="1" applyFill="1" applyAlignment="1">
      <alignment horizontal="center" vertical="center"/>
    </xf>
    <xf numFmtId="3" fontId="39" fillId="2" borderId="0" xfId="3" applyNumberFormat="1" applyFont="1" applyFill="1"/>
    <xf numFmtId="4" fontId="37" fillId="0" borderId="0" xfId="3" applyNumberFormat="1" applyFont="1" applyAlignment="1">
      <alignment vertical="center"/>
    </xf>
    <xf numFmtId="4" fontId="39" fillId="0" borderId="0" xfId="3" applyNumberFormat="1" applyFont="1" applyAlignment="1">
      <alignment horizontal="center"/>
    </xf>
    <xf numFmtId="4" fontId="39" fillId="0" borderId="0" xfId="3" applyNumberFormat="1" applyFont="1"/>
    <xf numFmtId="4" fontId="40" fillId="0" borderId="48" xfId="3" applyNumberFormat="1" applyFont="1" applyBorder="1" applyAlignment="1">
      <alignment horizontal="right" vertical="center"/>
    </xf>
    <xf numFmtId="4" fontId="40" fillId="0" borderId="49" xfId="3" applyNumberFormat="1" applyFont="1" applyBorder="1" applyAlignment="1">
      <alignment horizontal="right" vertical="center"/>
    </xf>
    <xf numFmtId="4" fontId="41" fillId="0" borderId="51" xfId="3" applyNumberFormat="1" applyFont="1" applyBorder="1" applyAlignment="1">
      <alignment vertical="center"/>
    </xf>
    <xf numFmtId="4" fontId="41" fillId="0" borderId="52" xfId="3" applyNumberFormat="1" applyFont="1" applyBorder="1" applyAlignment="1">
      <alignment vertical="center"/>
    </xf>
    <xf numFmtId="4" fontId="41" fillId="0" borderId="54" xfId="3" applyNumberFormat="1" applyFont="1" applyBorder="1" applyAlignment="1">
      <alignment vertical="center"/>
    </xf>
    <xf numFmtId="4" fontId="41" fillId="0" borderId="55" xfId="3" applyNumberFormat="1" applyFont="1" applyBorder="1" applyAlignment="1">
      <alignment vertical="center"/>
    </xf>
    <xf numFmtId="4" fontId="40" fillId="0" borderId="3" xfId="3" applyNumberFormat="1" applyFont="1" applyBorder="1" applyAlignment="1">
      <alignment horizontal="right" vertical="center"/>
    </xf>
    <xf numFmtId="4" fontId="40" fillId="0" borderId="0" xfId="3" applyNumberFormat="1" applyFont="1" applyAlignment="1">
      <alignment horizontal="right" vertical="center"/>
    </xf>
    <xf numFmtId="4" fontId="40" fillId="0" borderId="51" xfId="3" applyNumberFormat="1" applyFont="1" applyBorder="1" applyAlignment="1">
      <alignment horizontal="right" vertical="center"/>
    </xf>
    <xf numFmtId="4" fontId="40" fillId="0" borderId="52" xfId="3" applyNumberFormat="1" applyFont="1" applyBorder="1" applyAlignment="1">
      <alignment horizontal="right" vertical="center"/>
    </xf>
    <xf numFmtId="4" fontId="41" fillId="0" borderId="51" xfId="3" applyNumberFormat="1" applyFont="1" applyBorder="1" applyAlignment="1">
      <alignment horizontal="right" vertical="center"/>
    </xf>
    <xf numFmtId="4" fontId="41" fillId="0" borderId="52" xfId="3" applyNumberFormat="1" applyFont="1" applyBorder="1" applyAlignment="1">
      <alignment horizontal="right" vertical="center"/>
    </xf>
    <xf numFmtId="4" fontId="41" fillId="0" borderId="54" xfId="3" applyNumberFormat="1" applyFont="1" applyBorder="1" applyAlignment="1">
      <alignment horizontal="right" vertical="center"/>
    </xf>
    <xf numFmtId="4" fontId="41" fillId="0" borderId="55" xfId="3" applyNumberFormat="1" applyFont="1" applyBorder="1" applyAlignment="1">
      <alignment horizontal="right" vertical="center"/>
    </xf>
    <xf numFmtId="4" fontId="39" fillId="0" borderId="0" xfId="3" applyNumberFormat="1" applyFont="1" applyAlignment="1">
      <alignment horizontal="center" vertical="center"/>
    </xf>
    <xf numFmtId="4" fontId="39" fillId="0" borderId="0" xfId="3" applyNumberFormat="1" applyFont="1" applyAlignment="1">
      <alignment vertical="center"/>
    </xf>
    <xf numFmtId="4" fontId="40" fillId="0" borderId="3" xfId="3" applyNumberFormat="1" applyFont="1" applyBorder="1" applyAlignment="1">
      <alignment vertical="center"/>
    </xf>
    <xf numFmtId="4" fontId="37" fillId="0" borderId="0" xfId="3" quotePrefix="1" applyNumberFormat="1" applyFont="1" applyAlignment="1">
      <alignment vertical="center" wrapText="1"/>
    </xf>
    <xf numFmtId="4" fontId="39" fillId="0" borderId="0" xfId="3" applyNumberFormat="1" applyFont="1" applyAlignment="1">
      <alignment horizontal="left"/>
    </xf>
    <xf numFmtId="4" fontId="37" fillId="0" borderId="0" xfId="3" applyNumberFormat="1" applyFont="1"/>
    <xf numFmtId="4" fontId="37" fillId="0" borderId="0" xfId="3" applyNumberFormat="1" applyFont="1" applyAlignment="1">
      <alignment horizontal="left"/>
    </xf>
    <xf numFmtId="4" fontId="39" fillId="0" borderId="51" xfId="3" applyNumberFormat="1" applyFont="1" applyBorder="1"/>
    <xf numFmtId="4" fontId="39" fillId="0" borderId="52" xfId="3" applyNumberFormat="1" applyFont="1" applyBorder="1" applyAlignment="1">
      <alignment vertical="center"/>
    </xf>
    <xf numFmtId="4" fontId="39" fillId="0" borderId="51" xfId="3" applyNumberFormat="1" applyFont="1" applyBorder="1" applyAlignment="1">
      <alignment horizontal="right"/>
    </xf>
    <xf numFmtId="4" fontId="40" fillId="0" borderId="51" xfId="3" applyNumberFormat="1" applyFont="1" applyBorder="1" applyAlignment="1">
      <alignment horizontal="right"/>
    </xf>
    <xf numFmtId="4" fontId="39" fillId="0" borderId="54" xfId="3" applyNumberFormat="1" applyFont="1" applyBorder="1" applyAlignment="1">
      <alignment horizontal="right"/>
    </xf>
    <xf numFmtId="4" fontId="39" fillId="0" borderId="54" xfId="3" applyNumberFormat="1" applyFont="1" applyBorder="1"/>
    <xf numFmtId="4" fontId="39" fillId="0" borderId="54" xfId="3" applyNumberFormat="1" applyFont="1" applyBorder="1" applyAlignment="1">
      <alignment horizontal="right" vertical="center"/>
    </xf>
    <xf numFmtId="4" fontId="40" fillId="0" borderId="0" xfId="3" applyNumberFormat="1" applyFont="1" applyAlignment="1">
      <alignment vertical="center"/>
    </xf>
    <xf numFmtId="4" fontId="40" fillId="0" borderId="48" xfId="3" applyNumberFormat="1" applyFont="1" applyBorder="1" applyAlignment="1">
      <alignment horizontal="right"/>
    </xf>
    <xf numFmtId="4" fontId="39" fillId="0" borderId="51" xfId="3" applyNumberFormat="1" applyFont="1" applyBorder="1" applyAlignment="1">
      <alignment horizontal="right" vertical="center"/>
    </xf>
    <xf numFmtId="4" fontId="40" fillId="0" borderId="0" xfId="3" applyNumberFormat="1" applyFont="1" applyAlignment="1">
      <alignment horizontal="center" vertical="center"/>
    </xf>
    <xf numFmtId="4" fontId="40" fillId="0" borderId="0" xfId="3" applyNumberFormat="1" applyFont="1" applyAlignment="1">
      <alignment horizontal="center"/>
    </xf>
    <xf numFmtId="4" fontId="40" fillId="0" borderId="10" xfId="3" applyNumberFormat="1" applyFont="1" applyBorder="1" applyAlignment="1">
      <alignment horizontal="right" vertical="center"/>
    </xf>
    <xf numFmtId="4" fontId="39" fillId="0" borderId="0" xfId="3" applyNumberFormat="1" applyFont="1" applyAlignment="1">
      <alignment horizontal="left" vertical="center"/>
    </xf>
    <xf numFmtId="4" fontId="37" fillId="0" borderId="0" xfId="3" applyNumberFormat="1" applyFont="1" applyAlignment="1">
      <alignment horizontal="left" vertical="center"/>
    </xf>
    <xf numFmtId="4" fontId="37" fillId="0" borderId="0" xfId="3" quotePrefix="1" applyNumberFormat="1" applyFont="1" applyAlignment="1">
      <alignment horizontal="left" vertical="center" wrapText="1"/>
    </xf>
    <xf numFmtId="4" fontId="40" fillId="0" borderId="0" xfId="3" applyNumberFormat="1" applyFont="1" applyAlignment="1">
      <alignment horizontal="right"/>
    </xf>
    <xf numFmtId="4" fontId="40" fillId="0" borderId="0" xfId="3" quotePrefix="1" applyNumberFormat="1" applyFont="1" applyAlignment="1">
      <alignment horizontal="center" vertical="center"/>
    </xf>
    <xf numFmtId="4" fontId="40" fillId="0" borderId="3" xfId="3" applyNumberFormat="1" applyFont="1" applyBorder="1"/>
    <xf numFmtId="4" fontId="40" fillId="2" borderId="0" xfId="3" applyNumberFormat="1" applyFont="1" applyFill="1" applyAlignment="1">
      <alignment vertical="center"/>
    </xf>
    <xf numFmtId="4" fontId="39" fillId="2" borderId="0" xfId="3" applyNumberFormat="1" applyFont="1" applyFill="1" applyAlignment="1">
      <alignment horizontal="center"/>
    </xf>
    <xf numFmtId="4" fontId="39" fillId="2" borderId="0" xfId="3" applyNumberFormat="1" applyFont="1" applyFill="1"/>
    <xf numFmtId="0" fontId="37" fillId="0" borderId="0" xfId="3" applyFont="1" applyAlignment="1">
      <alignment horizontal="right" vertical="center" wrapText="1"/>
    </xf>
    <xf numFmtId="3" fontId="39" fillId="0" borderId="0" xfId="3" applyNumberFormat="1" applyFont="1" applyAlignment="1">
      <alignment horizontal="right"/>
    </xf>
    <xf numFmtId="3" fontId="37" fillId="0" borderId="0" xfId="3" applyNumberFormat="1" applyFont="1" applyAlignment="1">
      <alignment horizontal="right" vertical="center"/>
    </xf>
    <xf numFmtId="49" fontId="39" fillId="0" borderId="0" xfId="3" applyNumberFormat="1" applyFont="1" applyAlignment="1">
      <alignment horizontal="right"/>
    </xf>
    <xf numFmtId="0" fontId="37" fillId="0" borderId="0" xfId="3" applyFont="1" applyAlignment="1">
      <alignment horizontal="right" wrapText="1"/>
    </xf>
    <xf numFmtId="3" fontId="37" fillId="0" borderId="0" xfId="3" quotePrefix="1" applyNumberFormat="1" applyFont="1" applyAlignment="1">
      <alignment horizontal="right"/>
    </xf>
    <xf numFmtId="3" fontId="39" fillId="0" borderId="58" xfId="3" applyNumberFormat="1" applyFont="1" applyBorder="1" applyAlignment="1">
      <alignment horizontal="right"/>
    </xf>
    <xf numFmtId="3" fontId="37" fillId="0" borderId="0" xfId="3" applyNumberFormat="1" applyFont="1" applyAlignment="1">
      <alignment horizontal="right" vertical="center" wrapText="1"/>
    </xf>
    <xf numFmtId="3" fontId="40" fillId="0" borderId="0" xfId="3" quotePrefix="1" applyNumberFormat="1" applyFont="1" applyAlignment="1">
      <alignment horizontal="right" vertical="center"/>
    </xf>
    <xf numFmtId="3" fontId="39" fillId="2" borderId="0" xfId="3" applyNumberFormat="1" applyFont="1" applyFill="1" applyAlignment="1">
      <alignment horizontal="right"/>
    </xf>
    <xf numFmtId="3" fontId="41" fillId="0" borderId="0" xfId="3" applyNumberFormat="1" applyFont="1" applyAlignment="1">
      <alignment horizontal="right"/>
    </xf>
    <xf numFmtId="1" fontId="44" fillId="0" borderId="0" xfId="3" applyNumberFormat="1" applyFont="1" applyAlignment="1">
      <alignment horizontal="right"/>
    </xf>
    <xf numFmtId="1" fontId="44" fillId="0" borderId="0" xfId="3" applyNumberFormat="1" applyFont="1"/>
    <xf numFmtId="4" fontId="6" fillId="4" borderId="43" xfId="0" applyNumberFormat="1" applyFont="1" applyFill="1" applyBorder="1" applyAlignment="1">
      <alignment horizontal="center" vertical="center" wrapText="1"/>
    </xf>
    <xf numFmtId="4" fontId="6" fillId="4" borderId="31" xfId="0" applyNumberFormat="1" applyFont="1" applyFill="1" applyBorder="1" applyAlignment="1">
      <alignment horizontal="center" vertical="center" wrapText="1"/>
    </xf>
    <xf numFmtId="49" fontId="40" fillId="2" borderId="3" xfId="3" applyNumberFormat="1" applyFont="1" applyFill="1" applyBorder="1" applyAlignment="1">
      <alignment vertical="center"/>
    </xf>
    <xf numFmtId="49" fontId="39" fillId="2" borderId="3" xfId="3" applyNumberFormat="1" applyFont="1" applyFill="1" applyBorder="1" applyAlignment="1">
      <alignment vertical="center"/>
    </xf>
    <xf numFmtId="3" fontId="39" fillId="2" borderId="3" xfId="3" applyNumberFormat="1" applyFont="1" applyFill="1" applyBorder="1" applyAlignment="1">
      <alignment horizontal="right" vertical="center"/>
    </xf>
    <xf numFmtId="4" fontId="39" fillId="2" borderId="3" xfId="3" applyNumberFormat="1" applyFont="1" applyFill="1" applyBorder="1" applyAlignment="1">
      <alignment horizontal="right" vertical="center"/>
    </xf>
    <xf numFmtId="3" fontId="40" fillId="2" borderId="3" xfId="3" applyNumberFormat="1" applyFont="1" applyFill="1" applyBorder="1" applyAlignment="1">
      <alignment horizontal="right" vertical="center"/>
    </xf>
    <xf numFmtId="4" fontId="40" fillId="2" borderId="3" xfId="3" applyNumberFormat="1" applyFont="1" applyFill="1" applyBorder="1" applyAlignment="1">
      <alignment horizontal="right" vertical="center"/>
    </xf>
    <xf numFmtId="0" fontId="41" fillId="2" borderId="3" xfId="3" applyFont="1" applyFill="1" applyBorder="1" applyAlignment="1">
      <alignment horizontal="right"/>
    </xf>
    <xf numFmtId="4" fontId="41" fillId="2" borderId="3" xfId="3" applyNumberFormat="1" applyFont="1" applyFill="1" applyBorder="1" applyAlignment="1">
      <alignment horizontal="right"/>
    </xf>
    <xf numFmtId="0" fontId="41" fillId="2" borderId="3" xfId="3" applyFont="1" applyFill="1" applyBorder="1" applyAlignment="1">
      <alignment horizontal="right" vertical="center"/>
    </xf>
    <xf numFmtId="4" fontId="41" fillId="2" borderId="3" xfId="3" applyNumberFormat="1" applyFont="1" applyFill="1" applyBorder="1" applyAlignment="1">
      <alignment horizontal="right" vertical="center"/>
    </xf>
    <xf numFmtId="3" fontId="40" fillId="2" borderId="3" xfId="3" applyNumberFormat="1" applyFont="1" applyFill="1" applyBorder="1" applyAlignment="1">
      <alignment horizontal="right"/>
    </xf>
    <xf numFmtId="4" fontId="40" fillId="2" borderId="3" xfId="3" applyNumberFormat="1" applyFont="1" applyFill="1" applyBorder="1" applyAlignment="1">
      <alignment horizontal="right"/>
    </xf>
    <xf numFmtId="49" fontId="40" fillId="2" borderId="3" xfId="3" applyNumberFormat="1" applyFont="1" applyFill="1" applyBorder="1" applyAlignment="1">
      <alignment horizontal="left" vertical="center" wrapText="1"/>
    </xf>
    <xf numFmtId="3" fontId="39" fillId="0" borderId="3" xfId="3" applyNumberFormat="1" applyFont="1" applyBorder="1" applyAlignment="1">
      <alignment horizontal="right"/>
    </xf>
    <xf numFmtId="4" fontId="39" fillId="0" borderId="3" xfId="3" applyNumberFormat="1" applyFont="1" applyBorder="1" applyAlignment="1">
      <alignment horizontal="right"/>
    </xf>
    <xf numFmtId="3" fontId="40" fillId="0" borderId="3" xfId="3" applyNumberFormat="1" applyFont="1" applyBorder="1" applyAlignment="1">
      <alignment horizontal="right"/>
    </xf>
    <xf numFmtId="4" fontId="40" fillId="0" borderId="3" xfId="3" applyNumberFormat="1" applyFont="1" applyBorder="1" applyAlignment="1">
      <alignment horizontal="right"/>
    </xf>
    <xf numFmtId="49" fontId="40" fillId="2" borderId="20" xfId="3" applyNumberFormat="1" applyFont="1" applyFill="1" applyBorder="1" applyAlignment="1">
      <alignment horizontal="center" vertical="center"/>
    </xf>
    <xf numFmtId="49" fontId="39" fillId="2" borderId="20" xfId="3" applyNumberFormat="1" applyFont="1" applyFill="1" applyBorder="1" applyAlignment="1">
      <alignment vertical="center"/>
    </xf>
    <xf numFmtId="4" fontId="39" fillId="2" borderId="21" xfId="3" applyNumberFormat="1" applyFont="1" applyFill="1" applyBorder="1" applyAlignment="1">
      <alignment horizontal="right" vertical="center"/>
    </xf>
    <xf numFmtId="3" fontId="40" fillId="0" borderId="17" xfId="3" applyNumberFormat="1" applyFont="1" applyBorder="1" applyAlignment="1">
      <alignment horizontal="right"/>
    </xf>
    <xf numFmtId="4" fontId="40" fillId="0" borderId="17" xfId="3" applyNumberFormat="1" applyFont="1" applyBorder="1" applyAlignment="1">
      <alignment horizontal="right"/>
    </xf>
    <xf numFmtId="4" fontId="40" fillId="0" borderId="19" xfId="3" applyNumberFormat="1" applyFont="1" applyBorder="1" applyAlignment="1">
      <alignment horizontal="right"/>
    </xf>
    <xf numFmtId="3" fontId="37" fillId="4" borderId="45" xfId="3" applyNumberFormat="1" applyFont="1" applyFill="1" applyBorder="1" applyAlignment="1">
      <alignment horizontal="center" vertical="center" wrapText="1"/>
    </xf>
    <xf numFmtId="3" fontId="37" fillId="4" borderId="63" xfId="3" applyNumberFormat="1" applyFont="1" applyFill="1" applyBorder="1" applyAlignment="1">
      <alignment horizontal="center" vertical="center"/>
    </xf>
    <xf numFmtId="49" fontId="37" fillId="4" borderId="33" xfId="3" applyNumberFormat="1" applyFont="1" applyFill="1" applyBorder="1" applyAlignment="1">
      <alignment horizontal="center" vertical="center"/>
    </xf>
    <xf numFmtId="49" fontId="37" fillId="4" borderId="6" xfId="3" applyNumberFormat="1" applyFont="1" applyFill="1" applyBorder="1" applyAlignment="1">
      <alignment horizontal="center" vertical="center"/>
    </xf>
    <xf numFmtId="49" fontId="40" fillId="2" borderId="22" xfId="3" applyNumberFormat="1" applyFont="1" applyFill="1" applyBorder="1" applyAlignment="1">
      <alignment horizontal="center" vertical="center"/>
    </xf>
    <xf numFmtId="49" fontId="40" fillId="2" borderId="10" xfId="3" applyNumberFormat="1" applyFont="1" applyFill="1" applyBorder="1" applyAlignment="1">
      <alignment vertical="center"/>
    </xf>
    <xf numFmtId="3" fontId="41" fillId="2" borderId="10" xfId="3" applyNumberFormat="1" applyFont="1" applyFill="1" applyBorder="1"/>
    <xf numFmtId="4" fontId="41" fillId="2" borderId="10" xfId="3" applyNumberFormat="1" applyFont="1" applyFill="1" applyBorder="1" applyAlignment="1">
      <alignment horizontal="center" vertical="center"/>
    </xf>
    <xf numFmtId="4" fontId="41" fillId="2" borderId="10" xfId="3" applyNumberFormat="1" applyFont="1" applyFill="1" applyBorder="1" applyAlignment="1">
      <alignment vertical="center"/>
    </xf>
    <xf numFmtId="4" fontId="41" fillId="2" borderId="23" xfId="3" applyNumberFormat="1" applyFont="1" applyFill="1" applyBorder="1" applyAlignment="1">
      <alignment vertical="center"/>
    </xf>
    <xf numFmtId="1" fontId="43" fillId="4" borderId="7" xfId="3" applyNumberFormat="1" applyFont="1" applyFill="1" applyBorder="1" applyAlignment="1">
      <alignment horizontal="center" vertical="center" wrapText="1"/>
    </xf>
    <xf numFmtId="1" fontId="43" fillId="4" borderId="8" xfId="3" applyNumberFormat="1" applyFont="1" applyFill="1" applyBorder="1" applyAlignment="1">
      <alignment horizontal="center" vertical="center"/>
    </xf>
    <xf numFmtId="1" fontId="25" fillId="4" borderId="8" xfId="0" applyNumberFormat="1" applyFont="1" applyFill="1" applyBorder="1" applyAlignment="1">
      <alignment horizontal="center" vertical="center" wrapText="1"/>
    </xf>
    <xf numFmtId="1" fontId="25" fillId="4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right" vertical="center"/>
    </xf>
    <xf numFmtId="4" fontId="6" fillId="2" borderId="64" xfId="0" applyNumberFormat="1" applyFont="1" applyFill="1" applyBorder="1" applyAlignment="1">
      <alignment horizontal="right" vertical="center"/>
    </xf>
    <xf numFmtId="0" fontId="20" fillId="2" borderId="10" xfId="0" applyFont="1" applyFill="1" applyBorder="1" applyAlignment="1">
      <alignment horizontal="left" vertical="center" wrapText="1"/>
    </xf>
    <xf numFmtId="4" fontId="25" fillId="2" borderId="26" xfId="0" applyNumberFormat="1" applyFont="1" applyFill="1" applyBorder="1" applyAlignment="1">
      <alignment horizontal="right" vertical="center"/>
    </xf>
    <xf numFmtId="4" fontId="25" fillId="2" borderId="27" xfId="0" applyNumberFormat="1" applyFont="1" applyFill="1" applyBorder="1" applyAlignment="1">
      <alignment horizontal="right"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0" fillId="2" borderId="3" xfId="0" quotePrefix="1" applyFont="1" applyFill="1" applyBorder="1" applyAlignment="1">
      <alignment horizontal="left" vertical="center" wrapText="1"/>
    </xf>
    <xf numFmtId="4" fontId="25" fillId="2" borderId="4" xfId="0" applyNumberFormat="1" applyFont="1" applyFill="1" applyBorder="1" applyAlignment="1">
      <alignment horizontal="right" vertical="center"/>
    </xf>
    <xf numFmtId="4" fontId="25" fillId="2" borderId="21" xfId="0" applyNumberFormat="1" applyFont="1" applyFill="1" applyBorder="1" applyAlignment="1">
      <alignment horizontal="right" vertical="center"/>
    </xf>
    <xf numFmtId="0" fontId="47" fillId="0" borderId="0" xfId="0" applyFont="1" applyAlignment="1">
      <alignment vertical="center"/>
    </xf>
    <xf numFmtId="4" fontId="28" fillId="2" borderId="65" xfId="0" applyNumberFormat="1" applyFont="1" applyFill="1" applyBorder="1" applyAlignment="1">
      <alignment horizontal="right" vertical="center"/>
    </xf>
    <xf numFmtId="0" fontId="31" fillId="2" borderId="0" xfId="0" applyFont="1" applyFill="1" applyAlignment="1">
      <alignment horizontal="left" vertical="center" wrapText="1"/>
    </xf>
    <xf numFmtId="0" fontId="31" fillId="2" borderId="0" xfId="0" applyFont="1" applyFill="1" applyAlignment="1">
      <alignment vertical="center" wrapText="1"/>
    </xf>
    <xf numFmtId="4" fontId="28" fillId="2" borderId="0" xfId="0" applyNumberFormat="1" applyFont="1" applyFill="1" applyAlignment="1">
      <alignment horizontal="right" vertical="center"/>
    </xf>
    <xf numFmtId="0" fontId="46" fillId="0" borderId="0" xfId="0" applyFont="1" applyAlignment="1">
      <alignment horizontal="center" vertical="center"/>
    </xf>
    <xf numFmtId="4" fontId="48" fillId="2" borderId="26" xfId="0" applyNumberFormat="1" applyFont="1" applyFill="1" applyBorder="1" applyAlignment="1">
      <alignment horizontal="right" vertical="center"/>
    </xf>
    <xf numFmtId="4" fontId="48" fillId="2" borderId="38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vertical="center"/>
    </xf>
    <xf numFmtId="0" fontId="32" fillId="2" borderId="20" xfId="0" applyFont="1" applyFill="1" applyBorder="1" applyAlignment="1">
      <alignment horizontal="left" vertical="center" wrapText="1"/>
    </xf>
    <xf numFmtId="4" fontId="49" fillId="2" borderId="4" xfId="0" applyNumberFormat="1" applyFont="1" applyFill="1" applyBorder="1" applyAlignment="1">
      <alignment horizontal="right" vertical="center"/>
    </xf>
    <xf numFmtId="4" fontId="49" fillId="2" borderId="26" xfId="0" applyNumberFormat="1" applyFont="1" applyFill="1" applyBorder="1" applyAlignment="1">
      <alignment horizontal="right" vertical="center"/>
    </xf>
    <xf numFmtId="4" fontId="49" fillId="2" borderId="21" xfId="0" applyNumberFormat="1" applyFont="1" applyFill="1" applyBorder="1" applyAlignment="1">
      <alignment horizontal="right" vertical="center"/>
    </xf>
    <xf numFmtId="0" fontId="50" fillId="0" borderId="0" xfId="0" applyFont="1" applyAlignment="1">
      <alignment vertical="center"/>
    </xf>
    <xf numFmtId="49" fontId="9" fillId="0" borderId="0" xfId="0" applyNumberFormat="1" applyFont="1"/>
    <xf numFmtId="49" fontId="22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49" fontId="29" fillId="4" borderId="28" xfId="0" applyNumberFormat="1" applyFont="1" applyFill="1" applyBorder="1" applyAlignment="1">
      <alignment horizontal="center" vertical="center" wrapText="1"/>
    </xf>
    <xf numFmtId="49" fontId="15" fillId="4" borderId="28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left" vertical="center" wrapText="1"/>
    </xf>
    <xf numFmtId="49" fontId="20" fillId="2" borderId="10" xfId="0" applyNumberFormat="1" applyFont="1" applyFill="1" applyBorder="1" applyAlignment="1">
      <alignment horizontal="left" vertical="center" wrapText="1"/>
    </xf>
    <xf numFmtId="49" fontId="32" fillId="2" borderId="3" xfId="0" applyNumberFormat="1" applyFont="1" applyFill="1" applyBorder="1" applyAlignment="1">
      <alignment horizontal="left" vertical="center" wrapText="1"/>
    </xf>
    <xf numFmtId="49" fontId="11" fillId="2" borderId="3" xfId="0" quotePrefix="1" applyNumberFormat="1" applyFont="1" applyFill="1" applyBorder="1" applyAlignment="1">
      <alignment horizontal="left" vertical="center"/>
    </xf>
    <xf numFmtId="49" fontId="20" fillId="2" borderId="3" xfId="0" quotePrefix="1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 wrapText="1"/>
    </xf>
    <xf numFmtId="49" fontId="24" fillId="2" borderId="3" xfId="0" applyNumberFormat="1" applyFont="1" applyFill="1" applyBorder="1" applyAlignment="1">
      <alignment horizontal="left" vertical="center" wrapText="1"/>
    </xf>
    <xf numFmtId="49" fontId="31" fillId="2" borderId="3" xfId="0" applyNumberFormat="1" applyFont="1" applyFill="1" applyBorder="1" applyAlignment="1">
      <alignment horizontal="left" vertical="center" wrapText="1"/>
    </xf>
    <xf numFmtId="49" fontId="24" fillId="2" borderId="3" xfId="0" quotePrefix="1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49" fontId="31" fillId="2" borderId="17" xfId="0" applyNumberFormat="1" applyFont="1" applyFill="1" applyBorder="1" applyAlignment="1">
      <alignment horizontal="left" vertical="center" wrapText="1"/>
    </xf>
    <xf numFmtId="49" fontId="31" fillId="2" borderId="0" xfId="0" applyNumberFormat="1" applyFont="1" applyFill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15" fillId="4" borderId="30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32" fillId="2" borderId="20" xfId="0" quotePrefix="1" applyFont="1" applyFill="1" applyBorder="1" applyAlignment="1">
      <alignment horizontal="left" vertical="center"/>
    </xf>
    <xf numFmtId="49" fontId="32" fillId="2" borderId="3" xfId="0" quotePrefix="1" applyNumberFormat="1" applyFont="1" applyFill="1" applyBorder="1" applyAlignment="1">
      <alignment horizontal="left" vertical="center"/>
    </xf>
    <xf numFmtId="4" fontId="49" fillId="2" borderId="25" xfId="0" applyNumberFormat="1" applyFont="1" applyFill="1" applyBorder="1" applyAlignment="1">
      <alignment horizontal="right" vertical="center"/>
    </xf>
    <xf numFmtId="49" fontId="32" fillId="2" borderId="6" xfId="0" applyNumberFormat="1" applyFont="1" applyFill="1" applyBorder="1" applyAlignment="1">
      <alignment horizontal="left" vertical="center" wrapText="1"/>
    </xf>
    <xf numFmtId="4" fontId="49" fillId="2" borderId="33" xfId="0" applyNumberFormat="1" applyFont="1" applyFill="1" applyBorder="1" applyAlignment="1">
      <alignment horizontal="right" vertical="center"/>
    </xf>
    <xf numFmtId="4" fontId="49" fillId="2" borderId="40" xfId="0" applyNumberFormat="1" applyFont="1" applyFill="1" applyBorder="1" applyAlignment="1">
      <alignment horizontal="right" vertical="center"/>
    </xf>
    <xf numFmtId="4" fontId="49" fillId="2" borderId="42" xfId="0" applyNumberFormat="1" applyFont="1" applyFill="1" applyBorder="1" applyAlignment="1">
      <alignment horizontal="right" vertical="center"/>
    </xf>
    <xf numFmtId="49" fontId="32" fillId="2" borderId="17" xfId="0" applyNumberFormat="1" applyFont="1" applyFill="1" applyBorder="1" applyAlignment="1">
      <alignment horizontal="left" vertical="center" wrapText="1"/>
    </xf>
    <xf numFmtId="4" fontId="49" fillId="2" borderId="16" xfId="0" applyNumberFormat="1" applyFont="1" applyFill="1" applyBorder="1" applyAlignment="1">
      <alignment horizontal="right" vertical="center"/>
    </xf>
    <xf numFmtId="4" fontId="49" fillId="2" borderId="17" xfId="0" applyNumberFormat="1" applyFont="1" applyFill="1" applyBorder="1" applyAlignment="1">
      <alignment horizontal="right" vertical="center"/>
    </xf>
    <xf numFmtId="4" fontId="49" fillId="2" borderId="19" xfId="0" applyNumberFormat="1" applyFont="1" applyFill="1" applyBorder="1" applyAlignment="1">
      <alignment horizontal="right" vertical="center" wrapText="1"/>
    </xf>
    <xf numFmtId="0" fontId="24" fillId="2" borderId="24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left" vertical="center" wrapText="1"/>
    </xf>
    <xf numFmtId="49" fontId="11" fillId="2" borderId="11" xfId="0" applyNumberFormat="1" applyFont="1" applyFill="1" applyBorder="1" applyAlignment="1">
      <alignment horizontal="left" vertical="center" wrapText="1"/>
    </xf>
    <xf numFmtId="49" fontId="20" fillId="2" borderId="22" xfId="0" applyNumberFormat="1" applyFont="1" applyFill="1" applyBorder="1" applyAlignment="1">
      <alignment horizontal="left" vertical="center" wrapText="1"/>
    </xf>
    <xf numFmtId="49" fontId="32" fillId="2" borderId="20" xfId="0" applyNumberFormat="1" applyFont="1" applyFill="1" applyBorder="1" applyAlignment="1">
      <alignment horizontal="left" vertical="center" wrapText="1"/>
    </xf>
    <xf numFmtId="49" fontId="11" fillId="2" borderId="20" xfId="0" quotePrefix="1" applyNumberFormat="1" applyFont="1" applyFill="1" applyBorder="1" applyAlignment="1">
      <alignment horizontal="left" vertical="center"/>
    </xf>
    <xf numFmtId="49" fontId="32" fillId="2" borderId="20" xfId="0" quotePrefix="1" applyNumberFormat="1" applyFont="1" applyFill="1" applyBorder="1" applyAlignment="1">
      <alignment horizontal="left" vertical="center"/>
    </xf>
    <xf numFmtId="49" fontId="24" fillId="2" borderId="20" xfId="0" quotePrefix="1" applyNumberFormat="1" applyFont="1" applyFill="1" applyBorder="1" applyAlignment="1">
      <alignment horizontal="left" vertical="center"/>
    </xf>
    <xf numFmtId="49" fontId="11" fillId="2" borderId="20" xfId="0" applyNumberFormat="1" applyFont="1" applyFill="1" applyBorder="1" applyAlignment="1">
      <alignment horizontal="left" vertical="center" wrapText="1"/>
    </xf>
    <xf numFmtId="49" fontId="20" fillId="2" borderId="20" xfId="0" quotePrefix="1" applyNumberFormat="1" applyFont="1" applyFill="1" applyBorder="1" applyAlignment="1">
      <alignment horizontal="left" vertical="center"/>
    </xf>
    <xf numFmtId="49" fontId="32" fillId="2" borderId="15" xfId="0" quotePrefix="1" applyNumberFormat="1" applyFont="1" applyFill="1" applyBorder="1" applyAlignment="1">
      <alignment horizontal="left" vertical="center"/>
    </xf>
    <xf numFmtId="49" fontId="32" fillId="2" borderId="17" xfId="0" quotePrefix="1" applyNumberFormat="1" applyFont="1" applyFill="1" applyBorder="1" applyAlignment="1">
      <alignment horizontal="left" vertical="center"/>
    </xf>
    <xf numFmtId="4" fontId="49" fillId="2" borderId="38" xfId="0" applyNumberFormat="1" applyFont="1" applyFill="1" applyBorder="1" applyAlignment="1">
      <alignment horizontal="right" vertical="center"/>
    </xf>
    <xf numFmtId="4" fontId="49" fillId="2" borderId="65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6" fillId="3" borderId="10" xfId="0" applyNumberFormat="1" applyFont="1" applyFill="1" applyBorder="1" applyAlignment="1">
      <alignment horizontal="right"/>
    </xf>
    <xf numFmtId="0" fontId="6" fillId="0" borderId="66" xfId="0" quotePrefix="1" applyFont="1" applyBorder="1" applyAlignment="1">
      <alignment horizontal="left" wrapText="1"/>
    </xf>
    <xf numFmtId="0" fontId="6" fillId="0" borderId="67" xfId="0" quotePrefix="1" applyFont="1" applyBorder="1" applyAlignment="1">
      <alignment horizontal="left" wrapText="1"/>
    </xf>
    <xf numFmtId="0" fontId="6" fillId="0" borderId="67" xfId="0" quotePrefix="1" applyFont="1" applyBorder="1" applyAlignment="1">
      <alignment horizontal="center" wrapText="1"/>
    </xf>
    <xf numFmtId="4" fontId="6" fillId="3" borderId="23" xfId="0" applyNumberFormat="1" applyFont="1" applyFill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0" fontId="11" fillId="3" borderId="69" xfId="0" applyFont="1" applyFill="1" applyBorder="1" applyAlignment="1">
      <alignment horizontal="left" vertical="center"/>
    </xf>
    <xf numFmtId="4" fontId="6" fillId="3" borderId="21" xfId="0" applyNumberFormat="1" applyFont="1" applyFill="1" applyBorder="1" applyAlignment="1">
      <alignment horizontal="right"/>
    </xf>
    <xf numFmtId="4" fontId="6" fillId="0" borderId="21" xfId="0" applyNumberFormat="1" applyFont="1" applyBorder="1" applyAlignment="1">
      <alignment horizontal="right" wrapText="1"/>
    </xf>
    <xf numFmtId="4" fontId="6" fillId="3" borderId="17" xfId="0" applyNumberFormat="1" applyFont="1" applyFill="1" applyBorder="1" applyAlignment="1">
      <alignment horizontal="right"/>
    </xf>
    <xf numFmtId="4" fontId="6" fillId="3" borderId="19" xfId="0" applyNumberFormat="1" applyFont="1" applyFill="1" applyBorder="1" applyAlignment="1">
      <alignment horizontal="right"/>
    </xf>
    <xf numFmtId="1" fontId="26" fillId="0" borderId="0" xfId="0" applyNumberFormat="1" applyFont="1"/>
    <xf numFmtId="1" fontId="15" fillId="2" borderId="74" xfId="0" quotePrefix="1" applyNumberFormat="1" applyFont="1" applyFill="1" applyBorder="1" applyAlignment="1">
      <alignment horizontal="left" wrapText="1"/>
    </xf>
    <xf numFmtId="1" fontId="15" fillId="2" borderId="75" xfId="0" quotePrefix="1" applyNumberFormat="1" applyFont="1" applyFill="1" applyBorder="1" applyAlignment="1">
      <alignment horizontal="left" wrapText="1"/>
    </xf>
    <xf numFmtId="1" fontId="15" fillId="2" borderId="75" xfId="0" quotePrefix="1" applyNumberFormat="1" applyFont="1" applyFill="1" applyBorder="1" applyAlignment="1">
      <alignment horizontal="center" wrapText="1"/>
    </xf>
    <xf numFmtId="1" fontId="15" fillId="2" borderId="75" xfId="0" quotePrefix="1" applyNumberFormat="1" applyFont="1" applyFill="1" applyBorder="1" applyAlignment="1">
      <alignment horizontal="left"/>
    </xf>
    <xf numFmtId="1" fontId="15" fillId="2" borderId="35" xfId="0" applyNumberFormat="1" applyFont="1" applyFill="1" applyBorder="1" applyAlignment="1">
      <alignment horizontal="center" vertical="center" wrapText="1"/>
    </xf>
    <xf numFmtId="1" fontId="15" fillId="2" borderId="36" xfId="0" applyNumberFormat="1" applyFont="1" applyFill="1" applyBorder="1" applyAlignment="1">
      <alignment horizontal="center" vertical="center" wrapText="1"/>
    </xf>
    <xf numFmtId="4" fontId="6" fillId="4" borderId="21" xfId="0" quotePrefix="1" applyNumberFormat="1" applyFont="1" applyFill="1" applyBorder="1" applyAlignment="1">
      <alignment horizontal="right"/>
    </xf>
    <xf numFmtId="4" fontId="6" fillId="3" borderId="17" xfId="0" quotePrefix="1" applyNumberFormat="1" applyFont="1" applyFill="1" applyBorder="1" applyAlignment="1">
      <alignment horizontal="right"/>
    </xf>
    <xf numFmtId="4" fontId="6" fillId="3" borderId="19" xfId="0" quotePrefix="1" applyNumberFormat="1" applyFont="1" applyFill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17" fillId="7" borderId="76" xfId="0" applyFont="1" applyFill="1" applyBorder="1" applyAlignment="1">
      <alignment horizontal="left" vertical="center" wrapText="1"/>
    </xf>
    <xf numFmtId="0" fontId="17" fillId="7" borderId="72" xfId="0" applyFont="1" applyFill="1" applyBorder="1" applyAlignment="1">
      <alignment vertical="center" wrapText="1"/>
    </xf>
    <xf numFmtId="4" fontId="17" fillId="7" borderId="72" xfId="0" applyNumberFormat="1" applyFont="1" applyFill="1" applyBorder="1" applyAlignment="1">
      <alignment vertical="center"/>
    </xf>
    <xf numFmtId="4" fontId="17" fillId="8" borderId="72" xfId="0" applyNumberFormat="1" applyFont="1" applyFill="1" applyBorder="1" applyAlignment="1" applyProtection="1">
      <alignment vertical="center" wrapText="1" readingOrder="1"/>
      <protection locked="0"/>
    </xf>
    <xf numFmtId="4" fontId="17" fillId="8" borderId="56" xfId="0" applyNumberFormat="1" applyFont="1" applyFill="1" applyBorder="1" applyAlignment="1" applyProtection="1">
      <alignment horizontal="right" vertical="center" wrapText="1" readingOrder="1"/>
      <protection locked="0"/>
    </xf>
    <xf numFmtId="4" fontId="17" fillId="8" borderId="73" xfId="0" applyNumberFormat="1" applyFont="1" applyFill="1" applyBorder="1" applyAlignment="1" applyProtection="1">
      <alignment horizontal="right" vertical="center" wrapText="1" readingOrder="1"/>
      <protection locked="0"/>
    </xf>
    <xf numFmtId="4" fontId="27" fillId="6" borderId="3" xfId="0" applyNumberFormat="1" applyFont="1" applyFill="1" applyBorder="1" applyAlignment="1" applyProtection="1">
      <alignment horizontal="right" vertical="center" wrapText="1" readingOrder="1"/>
      <protection locked="0"/>
    </xf>
    <xf numFmtId="4" fontId="16" fillId="5" borderId="3" xfId="0" applyNumberFormat="1" applyFont="1" applyFill="1" applyBorder="1" applyAlignment="1" applyProtection="1">
      <alignment horizontal="right" vertical="center" wrapText="1" readingOrder="1"/>
      <protection locked="0"/>
    </xf>
    <xf numFmtId="4" fontId="27" fillId="6" borderId="13" xfId="0" applyNumberFormat="1" applyFont="1" applyFill="1" applyBorder="1" applyAlignment="1" applyProtection="1">
      <alignment horizontal="right" vertical="center" wrapText="1" readingOrder="1"/>
      <protection locked="0"/>
    </xf>
    <xf numFmtId="4" fontId="16" fillId="5" borderId="17" xfId="0" applyNumberFormat="1" applyFont="1" applyFill="1" applyBorder="1" applyAlignment="1" applyProtection="1">
      <alignment horizontal="right" vertical="center" wrapText="1" readingOrder="1"/>
      <protection locked="0"/>
    </xf>
    <xf numFmtId="49" fontId="6" fillId="4" borderId="28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left" vertical="center" wrapText="1"/>
    </xf>
    <xf numFmtId="49" fontId="34" fillId="2" borderId="3" xfId="0" quotePrefix="1" applyNumberFormat="1" applyFont="1" applyFill="1" applyBorder="1" applyAlignment="1">
      <alignment horizontal="left" vertical="center"/>
    </xf>
    <xf numFmtId="49" fontId="32" fillId="2" borderId="6" xfId="0" quotePrefix="1" applyNumberFormat="1" applyFont="1" applyFill="1" applyBorder="1" applyAlignment="1">
      <alignment horizontal="left" vertical="center"/>
    </xf>
    <xf numFmtId="49" fontId="6" fillId="4" borderId="30" xfId="0" applyNumberFormat="1" applyFont="1" applyFill="1" applyBorder="1" applyAlignment="1">
      <alignment horizontal="center" vertical="center" wrapText="1"/>
    </xf>
    <xf numFmtId="49" fontId="32" fillId="2" borderId="3" xfId="0" applyNumberFormat="1" applyFont="1" applyFill="1" applyBorder="1" applyAlignment="1">
      <alignment horizontal="left" vertical="center"/>
    </xf>
    <xf numFmtId="0" fontId="32" fillId="2" borderId="3" xfId="0" applyFont="1" applyFill="1" applyBorder="1" applyAlignment="1">
      <alignment vertical="center" wrapText="1"/>
    </xf>
    <xf numFmtId="4" fontId="49" fillId="2" borderId="3" xfId="0" applyNumberFormat="1" applyFont="1" applyFill="1" applyBorder="1" applyAlignment="1">
      <alignment horizontal="right" vertical="center"/>
    </xf>
    <xf numFmtId="49" fontId="29" fillId="4" borderId="7" xfId="0" applyNumberFormat="1" applyFont="1" applyFill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horizontal="center" vertical="center" wrapText="1"/>
    </xf>
    <xf numFmtId="4" fontId="6" fillId="4" borderId="28" xfId="0" applyNumberFormat="1" applyFont="1" applyFill="1" applyBorder="1" applyAlignment="1">
      <alignment horizontal="center" vertical="center" wrapText="1"/>
    </xf>
    <xf numFmtId="0" fontId="6" fillId="0" borderId="77" xfId="0" quotePrefix="1" applyFont="1" applyBorder="1" applyAlignment="1">
      <alignment horizontal="left"/>
    </xf>
    <xf numFmtId="4" fontId="28" fillId="2" borderId="6" xfId="0" applyNumberFormat="1" applyFont="1" applyFill="1" applyBorder="1" applyAlignment="1">
      <alignment horizontal="right" vertical="center"/>
    </xf>
    <xf numFmtId="4" fontId="28" fillId="2" borderId="37" xfId="0" applyNumberFormat="1" applyFont="1" applyFill="1" applyBorder="1" applyAlignment="1">
      <alignment horizontal="right" vertical="center"/>
    </xf>
    <xf numFmtId="0" fontId="33" fillId="0" borderId="3" xfId="0" applyFont="1" applyBorder="1"/>
    <xf numFmtId="4" fontId="33" fillId="0" borderId="3" xfId="0" applyNumberFormat="1" applyFont="1" applyBorder="1"/>
    <xf numFmtId="0" fontId="33" fillId="0" borderId="20" xfId="0" applyFont="1" applyBorder="1"/>
    <xf numFmtId="4" fontId="33" fillId="0" borderId="21" xfId="0" applyNumberFormat="1" applyFont="1" applyBorder="1"/>
    <xf numFmtId="0" fontId="33" fillId="0" borderId="15" xfId="0" applyFont="1" applyBorder="1"/>
    <xf numFmtId="0" fontId="33" fillId="0" borderId="17" xfId="0" applyFont="1" applyBorder="1"/>
    <xf numFmtId="4" fontId="33" fillId="0" borderId="17" xfId="0" applyNumberFormat="1" applyFont="1" applyBorder="1"/>
    <xf numFmtId="4" fontId="33" fillId="0" borderId="19" xfId="0" applyNumberFormat="1" applyFont="1" applyBorder="1"/>
    <xf numFmtId="0" fontId="24" fillId="2" borderId="20" xfId="0" applyFont="1" applyFill="1" applyBorder="1" applyAlignment="1">
      <alignment horizontal="left" vertical="center"/>
    </xf>
    <xf numFmtId="49" fontId="24" fillId="2" borderId="3" xfId="0" applyNumberFormat="1" applyFont="1" applyFill="1" applyBorder="1" applyAlignment="1">
      <alignment horizontal="left" vertical="center"/>
    </xf>
    <xf numFmtId="0" fontId="33" fillId="0" borderId="24" xfId="0" applyFont="1" applyBorder="1"/>
    <xf numFmtId="0" fontId="33" fillId="0" borderId="6" xfId="0" applyFont="1" applyBorder="1"/>
    <xf numFmtId="4" fontId="33" fillId="0" borderId="6" xfId="0" applyNumberFormat="1" applyFont="1" applyBorder="1"/>
    <xf numFmtId="4" fontId="33" fillId="0" borderId="37" xfId="0" applyNumberFormat="1" applyFont="1" applyBorder="1"/>
    <xf numFmtId="4" fontId="17" fillId="8" borderId="8" xfId="0" applyNumberFormat="1" applyFont="1" applyFill="1" applyBorder="1" applyAlignment="1" applyProtection="1">
      <alignment vertical="center" wrapText="1" readingOrder="1"/>
      <protection locked="0"/>
    </xf>
    <xf numFmtId="0" fontId="16" fillId="0" borderId="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wrapText="1"/>
    </xf>
    <xf numFmtId="0" fontId="17" fillId="0" borderId="3" xfId="0" applyFont="1" applyBorder="1"/>
    <xf numFmtId="4" fontId="17" fillId="0" borderId="3" xfId="0" applyNumberFormat="1" applyFont="1" applyBorder="1"/>
    <xf numFmtId="4" fontId="17" fillId="2" borderId="3" xfId="0" applyNumberFormat="1" applyFont="1" applyFill="1" applyBorder="1"/>
    <xf numFmtId="0" fontId="16" fillId="0" borderId="3" xfId="0" applyFont="1" applyBorder="1" applyAlignment="1">
      <alignment horizontal="left" wrapText="1"/>
    </xf>
    <xf numFmtId="0" fontId="16" fillId="0" borderId="3" xfId="0" applyFont="1" applyBorder="1"/>
    <xf numFmtId="4" fontId="16" fillId="0" borderId="3" xfId="0" applyNumberFormat="1" applyFont="1" applyBorder="1"/>
    <xf numFmtId="4" fontId="16" fillId="2" borderId="3" xfId="0" applyNumberFormat="1" applyFont="1" applyFill="1" applyBorder="1"/>
    <xf numFmtId="0" fontId="1" fillId="0" borderId="3" xfId="0" applyFont="1" applyBorder="1" applyAlignment="1">
      <alignment horizontal="left" wrapText="1"/>
    </xf>
    <xf numFmtId="4" fontId="1" fillId="0" borderId="3" xfId="0" applyNumberFormat="1" applyFont="1" applyBorder="1"/>
    <xf numFmtId="0" fontId="0" fillId="0" borderId="3" xfId="0" applyBorder="1" applyAlignment="1">
      <alignment horizontal="left" wrapText="1"/>
    </xf>
    <xf numFmtId="4" fontId="0" fillId="0" borderId="3" xfId="0" applyNumberFormat="1" applyBorder="1"/>
    <xf numFmtId="0" fontId="1" fillId="0" borderId="3" xfId="0" applyFont="1" applyBorder="1"/>
    <xf numFmtId="0" fontId="0" fillId="0" borderId="3" xfId="0" applyBorder="1"/>
    <xf numFmtId="0" fontId="1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0" fillId="0" borderId="0" xfId="0"/>
    <xf numFmtId="0" fontId="11" fillId="3" borderId="70" xfId="0" quotePrefix="1" applyFont="1" applyFill="1" applyBorder="1" applyAlignment="1">
      <alignment horizontal="left" vertical="center" wrapText="1"/>
    </xf>
    <xf numFmtId="0" fontId="9" fillId="3" borderId="71" xfId="0" applyFont="1" applyFill="1" applyBorder="1" applyAlignment="1">
      <alignment vertical="center" wrapText="1"/>
    </xf>
    <xf numFmtId="0" fontId="11" fillId="0" borderId="69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66" xfId="0" quotePrefix="1" applyFont="1" applyBorder="1" applyAlignment="1">
      <alignment horizontal="left" vertical="center" wrapText="1"/>
    </xf>
    <xf numFmtId="0" fontId="9" fillId="0" borderId="67" xfId="0" applyFont="1" applyBorder="1" applyAlignment="1">
      <alignment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69" xfId="0" quotePrefix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1" fillId="3" borderId="68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" fontId="37" fillId="0" borderId="6" xfId="3" quotePrefix="1" applyNumberFormat="1" applyFont="1" applyBorder="1" applyAlignment="1">
      <alignment horizontal="center" vertical="center" wrapText="1"/>
    </xf>
    <xf numFmtId="4" fontId="37" fillId="0" borderId="10" xfId="3" quotePrefix="1" applyNumberFormat="1" applyFont="1" applyBorder="1" applyAlignment="1">
      <alignment horizontal="center" vertical="center" wrapText="1"/>
    </xf>
    <xf numFmtId="4" fontId="37" fillId="0" borderId="6" xfId="3" applyNumberFormat="1" applyFont="1" applyBorder="1" applyAlignment="1">
      <alignment horizontal="center" vertical="center" wrapText="1"/>
    </xf>
    <xf numFmtId="4" fontId="37" fillId="0" borderId="10" xfId="3" applyNumberFormat="1" applyFont="1" applyBorder="1" applyAlignment="1">
      <alignment horizontal="center" vertical="center" wrapText="1"/>
    </xf>
    <xf numFmtId="3" fontId="40" fillId="2" borderId="20" xfId="3" applyNumberFormat="1" applyFont="1" applyFill="1" applyBorder="1" applyAlignment="1">
      <alignment horizontal="center"/>
    </xf>
    <xf numFmtId="3" fontId="40" fillId="2" borderId="3" xfId="3" applyNumberFormat="1" applyFont="1" applyFill="1" applyBorder="1" applyAlignment="1">
      <alignment horizontal="center"/>
    </xf>
    <xf numFmtId="3" fontId="40" fillId="2" borderId="15" xfId="3" applyNumberFormat="1" applyFont="1" applyFill="1" applyBorder="1" applyAlignment="1">
      <alignment horizontal="center"/>
    </xf>
    <xf numFmtId="3" fontId="40" fillId="2" borderId="17" xfId="3" applyNumberFormat="1" applyFont="1" applyFill="1" applyBorder="1" applyAlignment="1">
      <alignment horizontal="center"/>
    </xf>
    <xf numFmtId="49" fontId="40" fillId="2" borderId="20" xfId="3" applyNumberFormat="1" applyFont="1" applyFill="1" applyBorder="1" applyAlignment="1">
      <alignment horizontal="right" vertical="center"/>
    </xf>
    <xf numFmtId="49" fontId="40" fillId="2" borderId="3" xfId="3" applyNumberFormat="1" applyFont="1" applyFill="1" applyBorder="1" applyAlignment="1">
      <alignment horizontal="right" vertical="center"/>
    </xf>
    <xf numFmtId="3" fontId="40" fillId="0" borderId="1" xfId="3" quotePrefix="1" applyNumberFormat="1" applyFont="1" applyBorder="1" applyAlignment="1">
      <alignment horizontal="center" vertical="center"/>
    </xf>
    <xf numFmtId="3" fontId="40" fillId="0" borderId="4" xfId="3" quotePrefix="1" applyNumberFormat="1" applyFont="1" applyBorder="1" applyAlignment="1">
      <alignment horizontal="center" vertical="center"/>
    </xf>
    <xf numFmtId="3" fontId="42" fillId="2" borderId="0" xfId="3" applyNumberFormat="1" applyFont="1" applyFill="1" applyAlignment="1">
      <alignment horizontal="center" vertical="center"/>
    </xf>
    <xf numFmtId="0" fontId="37" fillId="0" borderId="6" xfId="3" quotePrefix="1" applyFont="1" applyBorder="1" applyAlignment="1">
      <alignment horizontal="center" vertical="center" wrapText="1"/>
    </xf>
    <xf numFmtId="0" fontId="37" fillId="0" borderId="10" xfId="3" quotePrefix="1" applyFont="1" applyBorder="1" applyAlignment="1">
      <alignment horizontal="center" vertical="center" wrapText="1"/>
    </xf>
    <xf numFmtId="0" fontId="37" fillId="0" borderId="6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3" fontId="37" fillId="0" borderId="0" xfId="3" quotePrefix="1" applyNumberFormat="1" applyFont="1" applyAlignment="1">
      <alignment horizontal="center" vertical="center" wrapText="1"/>
    </xf>
    <xf numFmtId="3" fontId="37" fillId="0" borderId="62" xfId="3" applyNumberFormat="1" applyFont="1" applyBorder="1" applyAlignment="1">
      <alignment horizontal="center" vertical="center"/>
    </xf>
    <xf numFmtId="3" fontId="42" fillId="0" borderId="0" xfId="3" applyNumberFormat="1" applyFont="1" applyAlignment="1">
      <alignment horizontal="center" vertical="center"/>
    </xf>
    <xf numFmtId="3" fontId="37" fillId="0" borderId="0" xfId="3" quotePrefix="1" applyNumberFormat="1" applyFont="1" applyAlignment="1">
      <alignment horizontal="left" vertical="center" wrapText="1"/>
    </xf>
    <xf numFmtId="3" fontId="40" fillId="0" borderId="5" xfId="3" quotePrefix="1" applyNumberFormat="1" applyFont="1" applyBorder="1" applyAlignment="1">
      <alignment horizontal="left" vertical="center" wrapText="1"/>
    </xf>
    <xf numFmtId="3" fontId="37" fillId="0" borderId="56" xfId="3" applyNumberFormat="1" applyFont="1" applyBorder="1" applyAlignment="1">
      <alignment horizontal="right" vertical="center" wrapText="1"/>
    </xf>
    <xf numFmtId="3" fontId="37" fillId="0" borderId="0" xfId="3" applyNumberFormat="1" applyFont="1" applyAlignment="1">
      <alignment horizontal="center" vertical="center" wrapText="1"/>
    </xf>
    <xf numFmtId="3" fontId="40" fillId="0" borderId="60" xfId="3" quotePrefix="1" applyNumberFormat="1" applyFont="1" applyBorder="1" applyAlignment="1">
      <alignment horizontal="center" vertical="center"/>
    </xf>
    <xf numFmtId="3" fontId="40" fillId="0" borderId="61" xfId="3" quotePrefix="1" applyNumberFormat="1" applyFont="1" applyBorder="1" applyAlignment="1">
      <alignment horizontal="center" vertical="center"/>
    </xf>
    <xf numFmtId="3" fontId="37" fillId="0" borderId="6" xfId="3" applyNumberFormat="1" applyFont="1" applyBorder="1" applyAlignment="1">
      <alignment horizontal="center" vertical="center" wrapText="1"/>
    </xf>
    <xf numFmtId="3" fontId="37" fillId="0" borderId="10" xfId="3" applyNumberFormat="1" applyFont="1" applyBorder="1" applyAlignment="1">
      <alignment horizontal="center" vertical="center" wrapText="1"/>
    </xf>
    <xf numFmtId="3" fontId="37" fillId="0" borderId="6" xfId="3" quotePrefix="1" applyNumberFormat="1" applyFont="1" applyBorder="1" applyAlignment="1">
      <alignment horizontal="center" vertical="center" wrapText="1"/>
    </xf>
    <xf numFmtId="3" fontId="37" fillId="0" borderId="10" xfId="3" quotePrefix="1" applyNumberFormat="1" applyFont="1" applyBorder="1" applyAlignment="1">
      <alignment horizontal="center" vertical="center" wrapText="1"/>
    </xf>
    <xf numFmtId="0" fontId="40" fillId="0" borderId="1" xfId="3" quotePrefix="1" applyFont="1" applyBorder="1" applyAlignment="1">
      <alignment horizontal="center" vertical="center"/>
    </xf>
    <xf numFmtId="0" fontId="40" fillId="0" borderId="4" xfId="3" quotePrefix="1" applyFont="1" applyBorder="1" applyAlignment="1">
      <alignment horizontal="center" vertical="center"/>
    </xf>
    <xf numFmtId="3" fontId="37" fillId="0" borderId="5" xfId="3" quotePrefix="1" applyNumberFormat="1" applyFont="1" applyBorder="1" applyAlignment="1">
      <alignment horizontal="left" wrapText="1"/>
    </xf>
    <xf numFmtId="3" fontId="37" fillId="0" borderId="6" xfId="3" applyNumberFormat="1" applyFont="1" applyBorder="1" applyAlignment="1">
      <alignment horizontal="right" vertical="center" wrapText="1"/>
    </xf>
    <xf numFmtId="3" fontId="37" fillId="0" borderId="10" xfId="3" applyNumberFormat="1" applyFont="1" applyBorder="1" applyAlignment="1">
      <alignment horizontal="right" vertical="center" wrapText="1"/>
    </xf>
    <xf numFmtId="49" fontId="40" fillId="0" borderId="1" xfId="3" quotePrefix="1" applyNumberFormat="1" applyFont="1" applyBorder="1" applyAlignment="1">
      <alignment horizontal="left" vertical="center" wrapText="1"/>
    </xf>
    <xf numFmtId="49" fontId="40" fillId="0" borderId="4" xfId="3" quotePrefix="1" applyNumberFormat="1" applyFont="1" applyBorder="1" applyAlignment="1">
      <alignment horizontal="left" vertical="center" wrapText="1"/>
    </xf>
    <xf numFmtId="3" fontId="37" fillId="0" borderId="0" xfId="3" applyNumberFormat="1" applyFont="1" applyAlignment="1">
      <alignment horizontal="center" vertical="center"/>
    </xf>
    <xf numFmtId="3" fontId="40" fillId="0" borderId="0" xfId="3" quotePrefix="1" applyNumberFormat="1" applyFont="1" applyAlignment="1">
      <alignment horizontal="left" vertical="center"/>
    </xf>
    <xf numFmtId="3" fontId="40" fillId="0" borderId="1" xfId="3" quotePrefix="1" applyNumberFormat="1" applyFont="1" applyBorder="1" applyAlignment="1">
      <alignment horizontal="left" vertical="center"/>
    </xf>
    <xf numFmtId="3" fontId="40" fillId="0" borderId="4" xfId="3" quotePrefix="1" applyNumberFormat="1" applyFont="1" applyBorder="1" applyAlignment="1">
      <alignment horizontal="left" vertical="center"/>
    </xf>
    <xf numFmtId="49" fontId="40" fillId="0" borderId="1" xfId="3" quotePrefix="1" applyNumberFormat="1" applyFont="1" applyBorder="1" applyAlignment="1">
      <alignment horizontal="left" vertical="center"/>
    </xf>
    <xf numFmtId="49" fontId="40" fillId="0" borderId="4" xfId="3" quotePrefix="1" applyNumberFormat="1" applyFont="1" applyBorder="1" applyAlignment="1">
      <alignment horizontal="left" vertical="center"/>
    </xf>
    <xf numFmtId="0" fontId="37" fillId="0" borderId="0" xfId="3" applyFont="1" applyAlignment="1">
      <alignment horizontal="center" vertical="center" wrapText="1"/>
    </xf>
  </cellXfs>
  <cellStyles count="5">
    <cellStyle name="Normalno" xfId="0" builtinId="0"/>
    <cellStyle name="Normalno 2" xfId="1" xr:uid="{A284066D-3862-41AD-81C9-A14A78D70E36}"/>
    <cellStyle name="Normalno 3" xfId="2" xr:uid="{34E08215-A02F-451F-B0D1-FD994C813D2F}"/>
    <cellStyle name="Normalno 3 2" xfId="3" xr:uid="{454C6FFD-90AC-4121-B495-A58816E8A13E}"/>
    <cellStyle name="Obično_List4" xfId="4" xr:uid="{4198F4CF-CABE-40FB-9034-B14C47310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350520</xdr:colOff>
          <xdr:row>0</xdr:row>
          <xdr:rowOff>76200</xdr:rowOff>
        </xdr:from>
        <xdr:to>
          <xdr:col>1</xdr:col>
          <xdr:colOff>228600</xdr:colOff>
          <xdr:row>3</xdr:row>
          <xdr:rowOff>99060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350520</xdr:colOff>
          <xdr:row>0</xdr:row>
          <xdr:rowOff>76200</xdr:rowOff>
        </xdr:from>
        <xdr:to>
          <xdr:col>1</xdr:col>
          <xdr:colOff>304800</xdr:colOff>
          <xdr:row>3</xdr:row>
          <xdr:rowOff>99060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350520</xdr:colOff>
          <xdr:row>0</xdr:row>
          <xdr:rowOff>76200</xdr:rowOff>
        </xdr:from>
        <xdr:to>
          <xdr:col>1</xdr:col>
          <xdr:colOff>304800</xdr:colOff>
          <xdr:row>3</xdr:row>
          <xdr:rowOff>99060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2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441960</xdr:colOff>
          <xdr:row>0</xdr:row>
          <xdr:rowOff>76200</xdr:rowOff>
        </xdr:from>
        <xdr:to>
          <xdr:col>0</xdr:col>
          <xdr:colOff>861060</xdr:colOff>
          <xdr:row>3</xdr:row>
          <xdr:rowOff>99060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350520</xdr:colOff>
          <xdr:row>0</xdr:row>
          <xdr:rowOff>76200</xdr:rowOff>
        </xdr:from>
        <xdr:to>
          <xdr:col>1</xdr:col>
          <xdr:colOff>304800</xdr:colOff>
          <xdr:row>4</xdr:row>
          <xdr:rowOff>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441960</xdr:colOff>
          <xdr:row>0</xdr:row>
          <xdr:rowOff>76200</xdr:rowOff>
        </xdr:from>
        <xdr:to>
          <xdr:col>0</xdr:col>
          <xdr:colOff>861060</xdr:colOff>
          <xdr:row>3</xdr:row>
          <xdr:rowOff>99060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rnet-my.sharepoint.com/Users/Dubravka/Downloads/polugodi&#353;nji%20izvje&#353;taj%20PK%20(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ŽETAK "/>
      <sheetName val="RAČUN PRIHODA I RASHODA"/>
      <sheetName val="Rashodi -funkcijska"/>
      <sheetName val="Račun financiranja"/>
      <sheetName val="POSEBNI_DIO_"/>
      <sheetName val="KONTROLNA TABLIC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5"/>
  <sheetViews>
    <sheetView topLeftCell="A9" workbookViewId="0">
      <selection activeCell="F6" sqref="F6"/>
    </sheetView>
  </sheetViews>
  <sheetFormatPr defaultRowHeight="14.4" x14ac:dyDescent="0.3"/>
  <cols>
    <col min="5" max="5" width="25.33203125" customWidth="1"/>
    <col min="6" max="10" width="25.33203125" style="15" customWidth="1"/>
    <col min="13" max="13" width="0" hidden="1" customWidth="1"/>
  </cols>
  <sheetData>
    <row r="1" spans="1:21" s="40" customFormat="1" ht="13.2" x14ac:dyDescent="0.25">
      <c r="F1" s="44"/>
      <c r="G1" s="44"/>
      <c r="H1" s="44"/>
      <c r="I1" s="44"/>
      <c r="J1" s="44"/>
    </row>
    <row r="2" spans="1:21" s="40" customFormat="1" ht="13.2" x14ac:dyDescent="0.25">
      <c r="F2" s="44"/>
      <c r="G2" s="44"/>
      <c r="H2" s="44"/>
      <c r="I2" s="44"/>
      <c r="J2" s="44"/>
    </row>
    <row r="3" spans="1:21" s="40" customFormat="1" ht="13.8" x14ac:dyDescent="0.3">
      <c r="F3" s="44"/>
      <c r="G3" s="44"/>
      <c r="H3" s="44"/>
      <c r="I3" s="44"/>
      <c r="J3" s="44"/>
      <c r="S3" s="41"/>
      <c r="T3" s="41"/>
      <c r="U3" s="41"/>
    </row>
    <row r="4" spans="1:21" s="40" customFormat="1" ht="13.2" x14ac:dyDescent="0.25">
      <c r="F4" s="44"/>
      <c r="G4" s="44"/>
      <c r="H4" s="44"/>
      <c r="I4" s="44"/>
      <c r="J4" s="44"/>
    </row>
    <row r="5" spans="1:21" s="40" customFormat="1" ht="15.6" x14ac:dyDescent="0.3">
      <c r="A5" s="591" t="s">
        <v>111</v>
      </c>
      <c r="B5" s="592"/>
      <c r="C5" s="592"/>
      <c r="D5" s="42"/>
      <c r="E5" s="43"/>
      <c r="F5" s="45"/>
      <c r="G5" s="45"/>
      <c r="H5" s="45"/>
      <c r="I5" s="45"/>
      <c r="J5" s="45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40" customFormat="1" ht="15.6" x14ac:dyDescent="0.3">
      <c r="A6" s="591" t="s">
        <v>112</v>
      </c>
      <c r="B6" s="592"/>
      <c r="C6" s="592"/>
      <c r="D6" s="42"/>
      <c r="E6" s="43"/>
      <c r="F6" s="45"/>
      <c r="G6" s="45"/>
      <c r="H6" s="45"/>
      <c r="I6" s="45"/>
      <c r="J6" s="45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s="40" customFormat="1" ht="15.6" x14ac:dyDescent="0.3">
      <c r="A7" s="591" t="s">
        <v>338</v>
      </c>
      <c r="B7" s="592"/>
      <c r="C7" s="592"/>
      <c r="D7" s="42"/>
      <c r="E7" s="43"/>
      <c r="F7" s="45"/>
      <c r="G7" s="45"/>
      <c r="H7" s="45"/>
      <c r="I7" s="45"/>
      <c r="J7" s="45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s="40" customFormat="1" ht="15.6" x14ac:dyDescent="0.3">
      <c r="A8" s="591" t="s">
        <v>339</v>
      </c>
      <c r="B8" s="592"/>
      <c r="C8" s="592"/>
      <c r="D8" s="42"/>
      <c r="E8" s="43"/>
      <c r="F8" s="45"/>
      <c r="G8" s="45"/>
      <c r="H8" s="45"/>
      <c r="I8" s="45"/>
      <c r="J8" s="45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s="40" customFormat="1" ht="15.6" x14ac:dyDescent="0.3">
      <c r="A9" s="591" t="s">
        <v>344</v>
      </c>
      <c r="B9" s="592"/>
      <c r="C9" s="592"/>
      <c r="D9" s="42"/>
      <c r="E9" s="43"/>
      <c r="F9" s="45"/>
      <c r="G9" s="45"/>
      <c r="H9" s="45"/>
      <c r="I9" s="45"/>
      <c r="J9" s="45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40" customFormat="1" ht="15.6" x14ac:dyDescent="0.3">
      <c r="A10" s="591" t="s">
        <v>345</v>
      </c>
      <c r="B10" s="592"/>
      <c r="C10" s="592"/>
      <c r="D10" s="42"/>
      <c r="E10" s="43"/>
      <c r="F10" s="45"/>
      <c r="G10" s="45"/>
      <c r="H10" s="45"/>
      <c r="I10" s="45"/>
      <c r="J10" s="45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s="40" customFormat="1" ht="15.6" x14ac:dyDescent="0.3">
      <c r="A11" s="591" t="s">
        <v>340</v>
      </c>
      <c r="B11" s="592"/>
      <c r="C11" s="592"/>
      <c r="D11" s="42"/>
      <c r="E11" s="43"/>
      <c r="F11" s="45"/>
      <c r="G11" s="45"/>
      <c r="H11" s="45"/>
      <c r="I11" s="45"/>
      <c r="J11" s="45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40" customFormat="1" ht="15.6" x14ac:dyDescent="0.3">
      <c r="A12" s="42"/>
      <c r="B12" s="42"/>
      <c r="C12" s="42"/>
      <c r="D12" s="42"/>
      <c r="E12" s="43"/>
      <c r="F12" s="45"/>
      <c r="G12" s="45"/>
      <c r="H12" s="45"/>
      <c r="I12" s="45"/>
      <c r="J12" s="45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x14ac:dyDescent="0.3">
      <c r="A13" s="589" t="s">
        <v>341</v>
      </c>
      <c r="B13" s="590"/>
      <c r="C13" s="590"/>
      <c r="D13" s="590"/>
      <c r="E13" s="590"/>
      <c r="F13" s="590"/>
      <c r="G13" s="590"/>
      <c r="H13" s="590"/>
      <c r="I13" s="590"/>
      <c r="J13" s="590"/>
    </row>
    <row r="14" spans="1:21" ht="18" customHeight="1" x14ac:dyDescent="0.3">
      <c r="A14" s="3"/>
      <c r="B14" s="3"/>
      <c r="C14" s="3"/>
      <c r="D14" s="3"/>
      <c r="E14" s="3"/>
      <c r="F14" s="14"/>
      <c r="G14" s="14"/>
      <c r="H14" s="14"/>
      <c r="I14" s="14"/>
      <c r="J14" s="14"/>
    </row>
    <row r="15" spans="1:21" ht="15" x14ac:dyDescent="0.3">
      <c r="A15" s="589" t="s">
        <v>30</v>
      </c>
      <c r="B15" s="590"/>
      <c r="C15" s="590"/>
      <c r="D15" s="590"/>
      <c r="E15" s="590"/>
      <c r="F15" s="590"/>
      <c r="G15" s="590"/>
      <c r="H15" s="590"/>
      <c r="I15" s="79"/>
      <c r="J15" s="79"/>
    </row>
    <row r="16" spans="1:21" ht="17.399999999999999" x14ac:dyDescent="0.3">
      <c r="A16" s="3"/>
      <c r="B16" s="3"/>
      <c r="C16" s="3"/>
      <c r="D16" s="3"/>
      <c r="E16" s="3"/>
      <c r="F16" s="14"/>
      <c r="G16" s="14"/>
      <c r="H16" s="14"/>
      <c r="I16" s="26"/>
      <c r="J16" s="26"/>
    </row>
    <row r="17" spans="1:10" ht="18" customHeight="1" x14ac:dyDescent="0.3">
      <c r="A17" s="589" t="s">
        <v>34</v>
      </c>
      <c r="B17" s="608"/>
      <c r="C17" s="608"/>
      <c r="D17" s="608"/>
      <c r="E17" s="608"/>
      <c r="F17" s="608"/>
      <c r="G17" s="608"/>
      <c r="H17" s="608"/>
      <c r="I17" s="608"/>
      <c r="J17" s="608"/>
    </row>
    <row r="18" spans="1:10" ht="18" thickBot="1" x14ac:dyDescent="0.35">
      <c r="A18" s="1"/>
      <c r="B18" s="2"/>
      <c r="C18" s="2"/>
      <c r="D18" s="2"/>
      <c r="E18" s="3"/>
      <c r="F18" s="509"/>
      <c r="G18" s="509"/>
      <c r="H18" s="509"/>
      <c r="I18" s="509"/>
      <c r="J18" s="510"/>
    </row>
    <row r="19" spans="1:10" ht="27" thickBot="1" x14ac:dyDescent="0.35">
      <c r="A19" s="512"/>
      <c r="B19" s="513"/>
      <c r="C19" s="513"/>
      <c r="D19" s="514"/>
      <c r="E19" s="555"/>
      <c r="F19" s="554" t="s">
        <v>318</v>
      </c>
      <c r="G19" s="33" t="s">
        <v>319</v>
      </c>
      <c r="H19" s="33" t="s">
        <v>320</v>
      </c>
      <c r="I19" s="33" t="s">
        <v>113</v>
      </c>
      <c r="J19" s="34" t="s">
        <v>113</v>
      </c>
    </row>
    <row r="20" spans="1:10" s="522" customFormat="1" ht="15" thickBot="1" x14ac:dyDescent="0.35">
      <c r="A20" s="523"/>
      <c r="B20" s="524"/>
      <c r="C20" s="524"/>
      <c r="D20" s="525">
        <v>1</v>
      </c>
      <c r="E20" s="526"/>
      <c r="F20" s="527">
        <v>2</v>
      </c>
      <c r="G20" s="527">
        <v>3</v>
      </c>
      <c r="H20" s="527">
        <v>4</v>
      </c>
      <c r="I20" s="527" t="s">
        <v>175</v>
      </c>
      <c r="J20" s="528" t="s">
        <v>176</v>
      </c>
    </row>
    <row r="21" spans="1:10" x14ac:dyDescent="0.3">
      <c r="A21" s="609" t="s">
        <v>0</v>
      </c>
      <c r="B21" s="610"/>
      <c r="C21" s="610"/>
      <c r="D21" s="610"/>
      <c r="E21" s="611"/>
      <c r="F21" s="511">
        <f>F22+F23</f>
        <v>1583255.98</v>
      </c>
      <c r="G21" s="511">
        <f t="shared" ref="G21:H21" si="0">G22+G23</f>
        <v>1763279.9100000001</v>
      </c>
      <c r="H21" s="511">
        <f t="shared" si="0"/>
        <v>812108.25</v>
      </c>
      <c r="I21" s="511">
        <f>H21/F21*100</f>
        <v>51.293553301469295</v>
      </c>
      <c r="J21" s="515">
        <f>H21/G21*100</f>
        <v>46.056683649279478</v>
      </c>
    </row>
    <row r="22" spans="1:10" x14ac:dyDescent="0.3">
      <c r="A22" s="603" t="s">
        <v>1</v>
      </c>
      <c r="B22" s="606"/>
      <c r="C22" s="606"/>
      <c r="D22" s="606"/>
      <c r="E22" s="596"/>
      <c r="F22" s="47">
        <f>'račun prihoda i rashoda-ekonom'!E23</f>
        <v>1583255.98</v>
      </c>
      <c r="G22" s="47">
        <f>'račun prihoda i rashoda-ekonom'!F23</f>
        <v>1763279.9100000001</v>
      </c>
      <c r="H22" s="47">
        <f>'račun prihoda i rashoda-ekonom'!G23</f>
        <v>812108.25</v>
      </c>
      <c r="I22" s="47">
        <f t="shared" ref="I22:I27" si="1">H22/F22*100</f>
        <v>51.293553301469295</v>
      </c>
      <c r="J22" s="516">
        <f t="shared" ref="J22:J27" si="2">H22/G22*100</f>
        <v>46.056683649279478</v>
      </c>
    </row>
    <row r="23" spans="1:10" x14ac:dyDescent="0.3">
      <c r="A23" s="595" t="s">
        <v>2</v>
      </c>
      <c r="B23" s="596"/>
      <c r="C23" s="596"/>
      <c r="D23" s="596"/>
      <c r="E23" s="596"/>
      <c r="F23" s="47">
        <f>'račun prihoda i rashoda-ekonom'!E69</f>
        <v>0</v>
      </c>
      <c r="G23" s="47">
        <f>'račun prihoda i rashoda-ekonom'!F69</f>
        <v>0</v>
      </c>
      <c r="H23" s="47">
        <f>'račun prihoda i rashoda-ekonom'!G69</f>
        <v>0</v>
      </c>
      <c r="I23" s="47" t="e">
        <f t="shared" si="1"/>
        <v>#DIV/0!</v>
      </c>
      <c r="J23" s="516" t="e">
        <f t="shared" si="2"/>
        <v>#DIV/0!</v>
      </c>
    </row>
    <row r="24" spans="1:10" x14ac:dyDescent="0.3">
      <c r="A24" s="517" t="s">
        <v>3</v>
      </c>
      <c r="B24" s="458"/>
      <c r="C24" s="458"/>
      <c r="D24" s="458"/>
      <c r="E24" s="458"/>
      <c r="F24" s="46">
        <f>F25+F26</f>
        <v>1741688.6300000001</v>
      </c>
      <c r="G24" s="46">
        <f t="shared" ref="G24:H24" si="3">G25+G26</f>
        <v>1757279.9100000001</v>
      </c>
      <c r="H24" s="46">
        <f t="shared" si="3"/>
        <v>833316.42999999993</v>
      </c>
      <c r="I24" s="46">
        <f t="shared" si="1"/>
        <v>47.845316071219912</v>
      </c>
      <c r="J24" s="518">
        <f t="shared" si="2"/>
        <v>47.420813568624922</v>
      </c>
    </row>
    <row r="25" spans="1:10" x14ac:dyDescent="0.3">
      <c r="A25" s="607" t="s">
        <v>4</v>
      </c>
      <c r="B25" s="606"/>
      <c r="C25" s="606"/>
      <c r="D25" s="606"/>
      <c r="E25" s="606"/>
      <c r="F25" s="47">
        <f>'račun prihoda i rashoda-ekonom'!E90</f>
        <v>1687969.53</v>
      </c>
      <c r="G25" s="47">
        <f>'račun prihoda i rashoda-ekonom'!F90</f>
        <v>1654979.9100000001</v>
      </c>
      <c r="H25" s="47">
        <f>'račun prihoda i rashoda-ekonom'!G90</f>
        <v>828516.36999999988</v>
      </c>
      <c r="I25" s="47">
        <f t="shared" si="1"/>
        <v>49.083609346905675</v>
      </c>
      <c r="J25" s="519">
        <f t="shared" si="2"/>
        <v>50.062019786089117</v>
      </c>
    </row>
    <row r="26" spans="1:10" x14ac:dyDescent="0.3">
      <c r="A26" s="595" t="s">
        <v>5</v>
      </c>
      <c r="B26" s="596"/>
      <c r="C26" s="596"/>
      <c r="D26" s="596"/>
      <c r="E26" s="596"/>
      <c r="F26" s="47">
        <f>'račun prihoda i rashoda-ekonom'!E244</f>
        <v>53719.1</v>
      </c>
      <c r="G26" s="47">
        <f>'račun prihoda i rashoda-ekonom'!F244</f>
        <v>102300</v>
      </c>
      <c r="H26" s="47">
        <f>'račun prihoda i rashoda-ekonom'!G244</f>
        <v>4800.0599999999995</v>
      </c>
      <c r="I26" s="47">
        <f t="shared" si="1"/>
        <v>8.9354810486400549</v>
      </c>
      <c r="J26" s="519">
        <f t="shared" si="2"/>
        <v>4.6921407624633424</v>
      </c>
    </row>
    <row r="27" spans="1:10" ht="15" thickBot="1" x14ac:dyDescent="0.35">
      <c r="A27" s="593" t="s">
        <v>6</v>
      </c>
      <c r="B27" s="594"/>
      <c r="C27" s="594"/>
      <c r="D27" s="594"/>
      <c r="E27" s="594"/>
      <c r="F27" s="520">
        <f>F21-F24</f>
        <v>-158432.65000000014</v>
      </c>
      <c r="G27" s="520">
        <f t="shared" ref="G27:H27" si="4">G21-G24</f>
        <v>6000</v>
      </c>
      <c r="H27" s="520">
        <f t="shared" si="4"/>
        <v>-21208.179999999935</v>
      </c>
      <c r="I27" s="520">
        <f t="shared" si="1"/>
        <v>13.386243302753515</v>
      </c>
      <c r="J27" s="521">
        <f t="shared" si="2"/>
        <v>-353.4696666666656</v>
      </c>
    </row>
    <row r="28" spans="1:10" ht="17.399999999999999" x14ac:dyDescent="0.3">
      <c r="A28" s="3"/>
      <c r="B28" s="4"/>
      <c r="C28" s="4"/>
      <c r="D28" s="4"/>
      <c r="E28" s="4"/>
      <c r="F28" s="48"/>
      <c r="G28" s="48"/>
      <c r="H28" s="49"/>
      <c r="I28" s="49"/>
      <c r="J28" s="49"/>
    </row>
    <row r="29" spans="1:10" ht="18" customHeight="1" x14ac:dyDescent="0.3">
      <c r="A29" s="589" t="s">
        <v>35</v>
      </c>
      <c r="B29" s="590"/>
      <c r="C29" s="590"/>
      <c r="D29" s="590"/>
      <c r="E29" s="590"/>
      <c r="F29" s="590"/>
      <c r="G29" s="590"/>
      <c r="H29" s="590"/>
      <c r="I29" s="612"/>
      <c r="J29" s="612"/>
    </row>
    <row r="30" spans="1:10" ht="18" thickBot="1" x14ac:dyDescent="0.35">
      <c r="A30" s="3"/>
      <c r="B30" s="4"/>
      <c r="C30" s="4"/>
      <c r="D30" s="4"/>
      <c r="E30" s="4"/>
      <c r="F30" s="48"/>
      <c r="G30" s="48"/>
      <c r="H30" s="49"/>
      <c r="I30" s="49"/>
      <c r="J30" s="49"/>
    </row>
    <row r="31" spans="1:10" ht="27" thickBot="1" x14ac:dyDescent="0.35">
      <c r="A31" s="512"/>
      <c r="B31" s="513"/>
      <c r="C31" s="513"/>
      <c r="D31" s="514"/>
      <c r="E31" s="555"/>
      <c r="F31" s="554" t="s">
        <v>318</v>
      </c>
      <c r="G31" s="33" t="s">
        <v>319</v>
      </c>
      <c r="H31" s="33" t="s">
        <v>320</v>
      </c>
      <c r="I31" s="33" t="s">
        <v>113</v>
      </c>
      <c r="J31" s="34" t="s">
        <v>113</v>
      </c>
    </row>
    <row r="32" spans="1:10" s="522" customFormat="1" ht="15" thickBot="1" x14ac:dyDescent="0.35">
      <c r="A32" s="523"/>
      <c r="B32" s="524"/>
      <c r="C32" s="524"/>
      <c r="D32" s="525">
        <v>1</v>
      </c>
      <c r="E32" s="526"/>
      <c r="F32" s="527">
        <v>2</v>
      </c>
      <c r="G32" s="527">
        <v>3</v>
      </c>
      <c r="H32" s="527">
        <v>4</v>
      </c>
      <c r="I32" s="527" t="s">
        <v>175</v>
      </c>
      <c r="J32" s="528" t="s">
        <v>176</v>
      </c>
    </row>
    <row r="33" spans="1:14" ht="15.75" customHeight="1" x14ac:dyDescent="0.3">
      <c r="A33" s="603" t="s">
        <v>8</v>
      </c>
      <c r="B33" s="604"/>
      <c r="C33" s="604"/>
      <c r="D33" s="604"/>
      <c r="E33" s="605"/>
      <c r="F33" s="47">
        <v>0</v>
      </c>
      <c r="G33" s="47">
        <v>0</v>
      </c>
      <c r="H33" s="47">
        <v>0</v>
      </c>
      <c r="I33" s="47">
        <v>0</v>
      </c>
      <c r="J33" s="516">
        <v>0</v>
      </c>
    </row>
    <row r="34" spans="1:14" x14ac:dyDescent="0.3">
      <c r="A34" s="603" t="s">
        <v>9</v>
      </c>
      <c r="B34" s="606"/>
      <c r="C34" s="606"/>
      <c r="D34" s="606"/>
      <c r="E34" s="606"/>
      <c r="F34" s="47">
        <v>0</v>
      </c>
      <c r="G34" s="47">
        <v>0</v>
      </c>
      <c r="H34" s="47">
        <v>0</v>
      </c>
      <c r="I34" s="47">
        <v>0</v>
      </c>
      <c r="J34" s="516">
        <v>0</v>
      </c>
    </row>
    <row r="35" spans="1:14" ht="15" thickBot="1" x14ac:dyDescent="0.35">
      <c r="A35" s="593" t="s">
        <v>10</v>
      </c>
      <c r="B35" s="594"/>
      <c r="C35" s="594"/>
      <c r="D35" s="594"/>
      <c r="E35" s="594"/>
      <c r="F35" s="520">
        <v>0</v>
      </c>
      <c r="G35" s="520">
        <v>0</v>
      </c>
      <c r="H35" s="520">
        <v>0</v>
      </c>
      <c r="I35" s="520">
        <v>0</v>
      </c>
      <c r="J35" s="521">
        <v>0</v>
      </c>
    </row>
    <row r="36" spans="1:14" ht="17.399999999999999" x14ac:dyDescent="0.3">
      <c r="A36" s="9"/>
      <c r="B36" s="4"/>
      <c r="C36" s="4"/>
      <c r="D36" s="4"/>
      <c r="E36" s="4"/>
      <c r="F36" s="48"/>
      <c r="G36" s="48"/>
      <c r="H36" s="49"/>
      <c r="I36" s="49"/>
      <c r="J36" s="49"/>
    </row>
    <row r="37" spans="1:14" ht="18" customHeight="1" x14ac:dyDescent="0.3">
      <c r="A37" s="589" t="s">
        <v>41</v>
      </c>
      <c r="B37" s="590"/>
      <c r="C37" s="590"/>
      <c r="D37" s="590"/>
      <c r="E37" s="590"/>
      <c r="F37" s="590"/>
      <c r="G37" s="590"/>
      <c r="H37" s="590"/>
      <c r="I37" s="612"/>
      <c r="J37" s="612"/>
    </row>
    <row r="38" spans="1:14" ht="18" thickBot="1" x14ac:dyDescent="0.35">
      <c r="A38" s="9"/>
      <c r="B38" s="4"/>
      <c r="C38" s="4"/>
      <c r="D38" s="4"/>
      <c r="E38" s="4"/>
      <c r="F38" s="48"/>
      <c r="G38" s="48"/>
      <c r="H38" s="49"/>
      <c r="I38" s="49"/>
      <c r="J38" s="49"/>
    </row>
    <row r="39" spans="1:14" ht="27" thickBot="1" x14ac:dyDescent="0.35">
      <c r="A39" s="512"/>
      <c r="B39" s="513"/>
      <c r="C39" s="513"/>
      <c r="D39" s="514"/>
      <c r="E39" s="555"/>
      <c r="F39" s="554" t="s">
        <v>318</v>
      </c>
      <c r="G39" s="33" t="s">
        <v>319</v>
      </c>
      <c r="H39" s="33" t="s">
        <v>320</v>
      </c>
      <c r="I39" s="33" t="s">
        <v>113</v>
      </c>
      <c r="J39" s="34" t="s">
        <v>113</v>
      </c>
    </row>
    <row r="40" spans="1:14" s="522" customFormat="1" ht="15" thickBot="1" x14ac:dyDescent="0.35">
      <c r="A40" s="523"/>
      <c r="B40" s="524"/>
      <c r="C40" s="524"/>
      <c r="D40" s="525">
        <v>1</v>
      </c>
      <c r="E40" s="526"/>
      <c r="F40" s="527">
        <v>2</v>
      </c>
      <c r="G40" s="527">
        <v>3</v>
      </c>
      <c r="H40" s="527">
        <v>4</v>
      </c>
      <c r="I40" s="527" t="s">
        <v>175</v>
      </c>
      <c r="J40" s="528" t="s">
        <v>176</v>
      </c>
    </row>
    <row r="41" spans="1:14" x14ac:dyDescent="0.3">
      <c r="A41" s="599" t="s">
        <v>36</v>
      </c>
      <c r="B41" s="600"/>
      <c r="C41" s="600"/>
      <c r="D41" s="600"/>
      <c r="E41" s="600"/>
      <c r="F41" s="50"/>
      <c r="G41" s="50"/>
      <c r="H41" s="50"/>
      <c r="I41" s="50" t="e">
        <f t="shared" ref="I41:I44" si="5">H41/F41*100</f>
        <v>#DIV/0!</v>
      </c>
      <c r="J41" s="529" t="e">
        <f t="shared" ref="J41:J44" si="6">H41/G41*100</f>
        <v>#DIV/0!</v>
      </c>
    </row>
    <row r="42" spans="1:14" ht="30" customHeight="1" thickBot="1" x14ac:dyDescent="0.35">
      <c r="A42" s="601" t="s">
        <v>7</v>
      </c>
      <c r="B42" s="602"/>
      <c r="C42" s="602"/>
      <c r="D42" s="602"/>
      <c r="E42" s="602"/>
      <c r="F42" s="530">
        <f>'račun prihoda i rashoda-ekonom'!E75-'račun prihoda i rashoda-ekonom'!E291</f>
        <v>0</v>
      </c>
      <c r="G42" s="530">
        <f>'račun prihoda i rashoda-ekonom'!F75-'račun prihoda i rashoda-ekonom'!F291</f>
        <v>0</v>
      </c>
      <c r="H42" s="530">
        <f>'račun prihoda i rashoda-ekonom'!G75-'račun prihoda i rashoda-ekonom'!G291</f>
        <v>0</v>
      </c>
      <c r="I42" s="530" t="e">
        <f t="shared" si="5"/>
        <v>#DIV/0!</v>
      </c>
      <c r="J42" s="531" t="e">
        <f t="shared" si="6"/>
        <v>#DIV/0!</v>
      </c>
    </row>
    <row r="43" spans="1:14" ht="15" thickBot="1" x14ac:dyDescent="0.35">
      <c r="L43" s="15"/>
      <c r="N43" s="15"/>
    </row>
    <row r="44" spans="1:14" ht="15" thickBot="1" x14ac:dyDescent="0.35">
      <c r="A44" s="597" t="s">
        <v>317</v>
      </c>
      <c r="B44" s="598"/>
      <c r="C44" s="598"/>
      <c r="D44" s="598"/>
      <c r="E44" s="598"/>
      <c r="F44" s="532">
        <f>F27+F42</f>
        <v>-158432.65000000014</v>
      </c>
      <c r="G44" s="532">
        <f t="shared" ref="G44:H44" si="7">G27+G42</f>
        <v>6000</v>
      </c>
      <c r="H44" s="532">
        <f t="shared" si="7"/>
        <v>-21208.179999999935</v>
      </c>
      <c r="I44" s="532">
        <f t="shared" si="5"/>
        <v>13.386243302753515</v>
      </c>
      <c r="J44" s="533">
        <f t="shared" si="6"/>
        <v>-353.4696666666656</v>
      </c>
    </row>
    <row r="45" spans="1:14" ht="11.25" customHeight="1" x14ac:dyDescent="0.3">
      <c r="A45" s="7"/>
      <c r="B45" s="8"/>
      <c r="C45" s="8"/>
      <c r="D45" s="8"/>
      <c r="E45" s="8"/>
      <c r="F45" s="51"/>
      <c r="G45" s="51"/>
      <c r="H45" s="51"/>
      <c r="I45" s="51"/>
      <c r="J45" s="51"/>
    </row>
  </sheetData>
  <mergeCells count="24">
    <mergeCell ref="A23:E23"/>
    <mergeCell ref="A10:C10"/>
    <mergeCell ref="A11:C11"/>
    <mergeCell ref="A5:C5"/>
    <mergeCell ref="A6:C6"/>
    <mergeCell ref="A7:C7"/>
    <mergeCell ref="A8:C8"/>
    <mergeCell ref="A9:C9"/>
    <mergeCell ref="A13:J13"/>
    <mergeCell ref="A35:E35"/>
    <mergeCell ref="A26:E26"/>
    <mergeCell ref="A27:E27"/>
    <mergeCell ref="A44:E44"/>
    <mergeCell ref="A41:E41"/>
    <mergeCell ref="A42:E42"/>
    <mergeCell ref="A15:H15"/>
    <mergeCell ref="A33:E33"/>
    <mergeCell ref="A34:E34"/>
    <mergeCell ref="A25:E25"/>
    <mergeCell ref="A17:J17"/>
    <mergeCell ref="A21:E21"/>
    <mergeCell ref="A22:E22"/>
    <mergeCell ref="A29:J29"/>
    <mergeCell ref="A37:J37"/>
  </mergeCells>
  <pageMargins left="0.7" right="0.7" top="0.75" bottom="0.75" header="0.3" footer="0.3"/>
  <pageSetup paperSize="9" scale="6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350520</xdr:colOff>
                <xdr:row>0</xdr:row>
                <xdr:rowOff>76200</xdr:rowOff>
              </from>
              <to>
                <xdr:col>1</xdr:col>
                <xdr:colOff>228600</xdr:colOff>
                <xdr:row>3</xdr:row>
                <xdr:rowOff>99060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1"/>
  <sheetViews>
    <sheetView topLeftCell="A111" zoomScaleNormal="100" workbookViewId="0">
      <selection activeCell="D9" sqref="D9"/>
    </sheetView>
  </sheetViews>
  <sheetFormatPr defaultRowHeight="14.4" x14ac:dyDescent="0.3"/>
  <cols>
    <col min="1" max="1" width="7.44140625" bestFit="1" customWidth="1"/>
    <col min="2" max="2" width="10.21875" customWidth="1"/>
    <col min="3" max="3" width="6.88671875" style="483" customWidth="1"/>
    <col min="4" max="4" width="66.6640625" customWidth="1"/>
    <col min="5" max="7" width="14.44140625" style="15" customWidth="1"/>
    <col min="8" max="8" width="14.44140625" style="15" bestFit="1" customWidth="1"/>
    <col min="9" max="9" width="11.44140625" style="15" customWidth="1"/>
  </cols>
  <sheetData>
    <row r="1" spans="1:20" s="40" customFormat="1" ht="13.2" x14ac:dyDescent="0.25">
      <c r="C1" s="464"/>
      <c r="E1" s="44"/>
      <c r="F1" s="44"/>
      <c r="G1" s="44"/>
      <c r="H1" s="44"/>
      <c r="I1" s="44"/>
    </row>
    <row r="2" spans="1:20" s="40" customFormat="1" ht="13.2" x14ac:dyDescent="0.25">
      <c r="C2" s="464"/>
      <c r="E2" s="44"/>
      <c r="F2" s="44"/>
      <c r="G2" s="44"/>
      <c r="H2" s="44"/>
      <c r="I2" s="44"/>
    </row>
    <row r="3" spans="1:20" s="40" customFormat="1" ht="13.8" x14ac:dyDescent="0.3">
      <c r="C3" s="464"/>
      <c r="E3" s="44"/>
      <c r="F3" s="44"/>
      <c r="G3" s="44"/>
      <c r="H3" s="44"/>
      <c r="I3" s="44"/>
      <c r="R3" s="41"/>
      <c r="S3" s="41"/>
      <c r="T3" s="41"/>
    </row>
    <row r="4" spans="1:20" s="40" customFormat="1" ht="13.2" x14ac:dyDescent="0.25">
      <c r="C4" s="464"/>
      <c r="E4" s="44"/>
      <c r="F4" s="44"/>
      <c r="G4" s="44"/>
      <c r="H4" s="44"/>
      <c r="I4" s="44"/>
    </row>
    <row r="5" spans="1:20" s="40" customFormat="1" ht="15.6" customHeight="1" x14ac:dyDescent="0.3">
      <c r="A5" s="591" t="s">
        <v>111</v>
      </c>
      <c r="B5" s="592"/>
      <c r="C5" s="592"/>
      <c r="D5" s="42"/>
      <c r="E5" s="45"/>
      <c r="F5" s="45"/>
      <c r="G5" s="45"/>
      <c r="H5" s="45"/>
      <c r="I5" s="45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s="40" customFormat="1" ht="15.6" customHeight="1" x14ac:dyDescent="0.3">
      <c r="A6" s="591" t="s">
        <v>112</v>
      </c>
      <c r="B6" s="592"/>
      <c r="C6" s="592"/>
      <c r="D6" s="42"/>
      <c r="E6" s="45"/>
      <c r="F6" s="45"/>
      <c r="G6" s="45"/>
      <c r="H6" s="45"/>
      <c r="I6" s="45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20" s="40" customFormat="1" ht="15.6" customHeight="1" x14ac:dyDescent="0.3">
      <c r="A7" s="591" t="s">
        <v>338</v>
      </c>
      <c r="B7" s="592"/>
      <c r="C7" s="592"/>
      <c r="D7" s="42"/>
      <c r="E7" s="45"/>
      <c r="F7" s="45"/>
      <c r="G7" s="45"/>
      <c r="H7" s="45"/>
      <c r="I7" s="45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  <row r="8" spans="1:20" s="40" customFormat="1" ht="15.6" customHeight="1" x14ac:dyDescent="0.3">
      <c r="A8" s="591" t="s">
        <v>339</v>
      </c>
      <c r="B8" s="592"/>
      <c r="C8" s="592"/>
      <c r="D8" s="42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</row>
    <row r="9" spans="1:20" s="40" customFormat="1" ht="15.6" customHeight="1" x14ac:dyDescent="0.3">
      <c r="A9" s="591" t="s">
        <v>344</v>
      </c>
      <c r="B9" s="592"/>
      <c r="C9" s="592"/>
      <c r="D9" s="42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spans="1:20" s="40" customFormat="1" ht="15.6" customHeight="1" x14ac:dyDescent="0.3">
      <c r="A10" s="591" t="s">
        <v>345</v>
      </c>
      <c r="B10" s="592"/>
      <c r="C10" s="592"/>
      <c r="D10" s="42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</row>
    <row r="11" spans="1:20" s="40" customFormat="1" ht="15.6" customHeight="1" x14ac:dyDescent="0.3">
      <c r="A11" s="591" t="s">
        <v>340</v>
      </c>
      <c r="B11" s="592"/>
      <c r="C11" s="592"/>
      <c r="D11" s="42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s="40" customFormat="1" ht="15.6" x14ac:dyDescent="0.3">
      <c r="A12" s="42"/>
      <c r="B12" s="42"/>
      <c r="C12" s="465"/>
      <c r="D12" s="42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</row>
    <row r="13" spans="1:20" ht="15.75" customHeight="1" x14ac:dyDescent="0.3">
      <c r="A13" s="589" t="s">
        <v>341</v>
      </c>
      <c r="B13" s="590"/>
      <c r="C13" s="590"/>
      <c r="D13" s="590"/>
      <c r="E13" s="590"/>
      <c r="F13" s="590"/>
      <c r="G13" s="590"/>
      <c r="H13" s="590"/>
      <c r="I13" s="590"/>
      <c r="J13" s="439"/>
    </row>
    <row r="14" spans="1:20" ht="18" customHeight="1" x14ac:dyDescent="0.3">
      <c r="A14" s="3"/>
      <c r="B14" s="3"/>
      <c r="C14" s="466"/>
      <c r="D14" s="3"/>
      <c r="E14" s="14"/>
      <c r="F14" s="14"/>
      <c r="G14" s="14"/>
      <c r="H14" s="14"/>
      <c r="I14" s="14"/>
    </row>
    <row r="15" spans="1:20" ht="15.6" x14ac:dyDescent="0.3">
      <c r="A15" s="589" t="s">
        <v>30</v>
      </c>
      <c r="B15" s="589"/>
      <c r="C15" s="589"/>
      <c r="D15" s="589"/>
      <c r="E15" s="589"/>
      <c r="F15" s="589"/>
      <c r="G15" s="589"/>
      <c r="H15" s="614"/>
      <c r="I15" s="614"/>
    </row>
    <row r="16" spans="1:20" ht="17.399999999999999" x14ac:dyDescent="0.3">
      <c r="A16" s="3"/>
      <c r="B16" s="3"/>
      <c r="C16" s="466"/>
      <c r="D16" s="3"/>
      <c r="E16" s="14"/>
      <c r="F16" s="14"/>
      <c r="G16" s="14"/>
      <c r="H16" s="26"/>
      <c r="I16" s="26"/>
    </row>
    <row r="17" spans="1:9" ht="18" customHeight="1" x14ac:dyDescent="0.3">
      <c r="A17" s="589" t="s">
        <v>12</v>
      </c>
      <c r="B17" s="608"/>
      <c r="C17" s="608"/>
      <c r="D17" s="608"/>
      <c r="E17" s="608"/>
      <c r="F17" s="608"/>
      <c r="G17" s="608"/>
      <c r="H17" s="608"/>
      <c r="I17" s="608"/>
    </row>
    <row r="18" spans="1:9" ht="17.399999999999999" x14ac:dyDescent="0.3">
      <c r="A18" s="3"/>
      <c r="B18" s="3"/>
      <c r="C18" s="466"/>
      <c r="D18" s="3"/>
      <c r="E18" s="14"/>
      <c r="F18" s="14"/>
      <c r="G18" s="14"/>
      <c r="H18" s="26"/>
      <c r="I18" s="26"/>
    </row>
    <row r="19" spans="1:9" ht="15.6" x14ac:dyDescent="0.3">
      <c r="A19" s="589" t="s">
        <v>303</v>
      </c>
      <c r="B19" s="613"/>
      <c r="C19" s="613"/>
      <c r="D19" s="613"/>
      <c r="E19" s="613"/>
      <c r="F19" s="613"/>
      <c r="G19" s="613"/>
      <c r="H19" s="613"/>
      <c r="I19" s="613"/>
    </row>
    <row r="20" spans="1:9" ht="18" thickBot="1" x14ac:dyDescent="0.35">
      <c r="A20" s="3"/>
      <c r="B20" s="3"/>
      <c r="C20" s="466"/>
      <c r="D20" s="3"/>
      <c r="E20" s="14"/>
      <c r="F20" s="14"/>
      <c r="G20" s="14"/>
      <c r="H20" s="26"/>
      <c r="I20" s="26"/>
    </row>
    <row r="21" spans="1:9" ht="27" thickBot="1" x14ac:dyDescent="0.35">
      <c r="A21" s="24" t="s">
        <v>13</v>
      </c>
      <c r="B21" s="32" t="s">
        <v>14</v>
      </c>
      <c r="C21" s="544" t="s">
        <v>15</v>
      </c>
      <c r="D21" s="32" t="s">
        <v>11</v>
      </c>
      <c r="E21" s="67" t="s">
        <v>318</v>
      </c>
      <c r="F21" s="53" t="s">
        <v>319</v>
      </c>
      <c r="G21" s="53" t="s">
        <v>320</v>
      </c>
      <c r="H21" s="34" t="s">
        <v>113</v>
      </c>
      <c r="I21" s="34" t="s">
        <v>113</v>
      </c>
    </row>
    <row r="22" spans="1:9" s="105" customFormat="1" ht="15" thickBot="1" x14ac:dyDescent="0.35">
      <c r="A22" s="125"/>
      <c r="B22" s="126"/>
      <c r="C22" s="468"/>
      <c r="D22" s="126">
        <v>1</v>
      </c>
      <c r="E22" s="127">
        <v>2</v>
      </c>
      <c r="F22" s="128">
        <v>3</v>
      </c>
      <c r="G22" s="128">
        <v>4</v>
      </c>
      <c r="H22" s="129" t="s">
        <v>175</v>
      </c>
      <c r="I22" s="130" t="s">
        <v>176</v>
      </c>
    </row>
    <row r="23" spans="1:9" s="27" customFormat="1" x14ac:dyDescent="0.3">
      <c r="A23" s="23">
        <v>6</v>
      </c>
      <c r="B23" s="31"/>
      <c r="C23" s="545"/>
      <c r="D23" s="31" t="s">
        <v>1</v>
      </c>
      <c r="E23" s="59">
        <f>E24+E35+E39+E43+E54+E65</f>
        <v>1583255.98</v>
      </c>
      <c r="F23" s="59">
        <f>F24+F35+F39+F43+F54+F65</f>
        <v>1763279.9100000001</v>
      </c>
      <c r="G23" s="59">
        <f>G24+G35+G39+G43+G54+G65</f>
        <v>812108.25</v>
      </c>
      <c r="H23" s="59">
        <f>G23/E23*100</f>
        <v>51.293553301469295</v>
      </c>
      <c r="I23" s="71">
        <f>G23/F23*100</f>
        <v>46.056683649279478</v>
      </c>
    </row>
    <row r="24" spans="1:9" s="27" customFormat="1" x14ac:dyDescent="0.3">
      <c r="A24" s="20"/>
      <c r="B24" s="5">
        <v>63</v>
      </c>
      <c r="C24" s="474"/>
      <c r="D24" s="5" t="s">
        <v>38</v>
      </c>
      <c r="E24" s="61">
        <f>E25+E32</f>
        <v>1365956.09</v>
      </c>
      <c r="F24" s="61">
        <f>F25+F32</f>
        <v>1460300</v>
      </c>
      <c r="G24" s="61">
        <f>G25+G32</f>
        <v>701190.51</v>
      </c>
      <c r="H24" s="59">
        <f t="shared" ref="H24:H84" si="0">G24/E24*100</f>
        <v>51.333312625005391</v>
      </c>
      <c r="I24" s="72">
        <f t="shared" ref="I24:I84" si="1">G24/F24*100</f>
        <v>48.016880777922346</v>
      </c>
    </row>
    <row r="25" spans="1:9" s="27" customFormat="1" x14ac:dyDescent="0.3">
      <c r="A25" s="20"/>
      <c r="B25" s="5">
        <v>636</v>
      </c>
      <c r="C25" s="474"/>
      <c r="D25" s="5" t="s">
        <v>177</v>
      </c>
      <c r="E25" s="61">
        <f>E26+E29</f>
        <v>1358371.81</v>
      </c>
      <c r="F25" s="61">
        <f>F26+F29</f>
        <v>1400300</v>
      </c>
      <c r="G25" s="61">
        <f t="shared" ref="G25" si="2">G26+G29</f>
        <v>700632.09</v>
      </c>
      <c r="H25" s="59">
        <f t="shared" si="0"/>
        <v>51.578815523269725</v>
      </c>
      <c r="I25" s="72">
        <f t="shared" si="1"/>
        <v>50.034427622652288</v>
      </c>
    </row>
    <row r="26" spans="1:9" s="176" customFormat="1" ht="12" x14ac:dyDescent="0.3">
      <c r="A26" s="171"/>
      <c r="B26" s="172">
        <v>6361</v>
      </c>
      <c r="C26" s="475"/>
      <c r="D26" s="172" t="s">
        <v>178</v>
      </c>
      <c r="E26" s="173">
        <f>E27+E28</f>
        <v>1345879.01</v>
      </c>
      <c r="F26" s="173">
        <f t="shared" ref="F26:G26" si="3">F27+F28</f>
        <v>1385300</v>
      </c>
      <c r="G26" s="173">
        <f t="shared" si="3"/>
        <v>700632.09</v>
      </c>
      <c r="H26" s="174">
        <f t="shared" si="0"/>
        <v>52.05758354162905</v>
      </c>
      <c r="I26" s="175">
        <f t="shared" si="1"/>
        <v>50.576199379195842</v>
      </c>
    </row>
    <row r="27" spans="1:9" s="183" customFormat="1" ht="12" x14ac:dyDescent="0.3">
      <c r="A27" s="177"/>
      <c r="B27" s="178"/>
      <c r="C27" s="485" t="s">
        <v>327</v>
      </c>
      <c r="D27" s="180" t="s">
        <v>87</v>
      </c>
      <c r="E27" s="181">
        <v>1297611.8899999999</v>
      </c>
      <c r="F27" s="168">
        <v>1323000</v>
      </c>
      <c r="G27" s="168">
        <v>688755.25</v>
      </c>
      <c r="H27" s="174">
        <f t="shared" si="0"/>
        <v>53.078679018577738</v>
      </c>
      <c r="I27" s="182">
        <f t="shared" si="1"/>
        <v>52.060109599395311</v>
      </c>
    </row>
    <row r="28" spans="1:9" s="183" customFormat="1" ht="12" x14ac:dyDescent="0.3">
      <c r="A28" s="177"/>
      <c r="B28" s="178"/>
      <c r="C28" s="485" t="s">
        <v>331</v>
      </c>
      <c r="D28" s="180" t="s">
        <v>88</v>
      </c>
      <c r="E28" s="181">
        <v>48267.12</v>
      </c>
      <c r="F28" s="168">
        <v>62300</v>
      </c>
      <c r="G28" s="168">
        <v>11876.84</v>
      </c>
      <c r="H28" s="174">
        <f t="shared" si="0"/>
        <v>24.606481596581688</v>
      </c>
      <c r="I28" s="182">
        <f t="shared" si="1"/>
        <v>19.063948635634027</v>
      </c>
    </row>
    <row r="29" spans="1:9" s="176" customFormat="1" ht="12" x14ac:dyDescent="0.3">
      <c r="A29" s="171"/>
      <c r="B29" s="172">
        <v>6362</v>
      </c>
      <c r="C29" s="475"/>
      <c r="D29" s="172" t="s">
        <v>178</v>
      </c>
      <c r="E29" s="173">
        <f>E30+E31</f>
        <v>12492.8</v>
      </c>
      <c r="F29" s="173">
        <f t="shared" ref="F29:G29" si="4">F30+F31</f>
        <v>15000</v>
      </c>
      <c r="G29" s="173">
        <f t="shared" si="4"/>
        <v>0</v>
      </c>
      <c r="H29" s="174">
        <f t="shared" si="0"/>
        <v>0</v>
      </c>
      <c r="I29" s="175">
        <f t="shared" si="1"/>
        <v>0</v>
      </c>
    </row>
    <row r="30" spans="1:9" s="183" customFormat="1" ht="12" x14ac:dyDescent="0.3">
      <c r="A30" s="177"/>
      <c r="B30" s="178"/>
      <c r="C30" s="485" t="s">
        <v>327</v>
      </c>
      <c r="D30" s="180" t="s">
        <v>87</v>
      </c>
      <c r="E30" s="181">
        <v>12492.8</v>
      </c>
      <c r="F30" s="181">
        <v>15000</v>
      </c>
      <c r="G30" s="181"/>
      <c r="H30" s="174">
        <f t="shared" si="0"/>
        <v>0</v>
      </c>
      <c r="I30" s="182">
        <f t="shared" si="1"/>
        <v>0</v>
      </c>
    </row>
    <row r="31" spans="1:9" s="183" customFormat="1" ht="12" x14ac:dyDescent="0.3">
      <c r="A31" s="177"/>
      <c r="B31" s="178"/>
      <c r="C31" s="485" t="s">
        <v>331</v>
      </c>
      <c r="D31" s="180" t="s">
        <v>88</v>
      </c>
      <c r="E31" s="181">
        <v>0</v>
      </c>
      <c r="F31" s="181"/>
      <c r="G31" s="181"/>
      <c r="H31" s="174" t="e">
        <f t="shared" si="0"/>
        <v>#DIV/0!</v>
      </c>
      <c r="I31" s="182" t="e">
        <f t="shared" si="1"/>
        <v>#DIV/0!</v>
      </c>
    </row>
    <row r="32" spans="1:9" s="183" customFormat="1" ht="12" x14ac:dyDescent="0.3">
      <c r="A32" s="177"/>
      <c r="B32" s="188">
        <v>638</v>
      </c>
      <c r="C32" s="485"/>
      <c r="D32" s="189" t="s">
        <v>337</v>
      </c>
      <c r="E32" s="173">
        <f t="shared" ref="E32:G33" si="5">E33</f>
        <v>7584.28</v>
      </c>
      <c r="F32" s="173">
        <f t="shared" si="5"/>
        <v>60000</v>
      </c>
      <c r="G32" s="173">
        <f t="shared" si="5"/>
        <v>558.41999999999996</v>
      </c>
      <c r="H32" s="174"/>
      <c r="I32" s="184"/>
    </row>
    <row r="33" spans="1:9" s="183" customFormat="1" ht="12" x14ac:dyDescent="0.3">
      <c r="A33" s="177"/>
      <c r="B33" s="188">
        <v>6381</v>
      </c>
      <c r="C33" s="485"/>
      <c r="D33" s="189" t="s">
        <v>337</v>
      </c>
      <c r="E33" s="173">
        <f t="shared" si="5"/>
        <v>7584.28</v>
      </c>
      <c r="F33" s="173">
        <f t="shared" si="5"/>
        <v>60000</v>
      </c>
      <c r="G33" s="173">
        <f t="shared" si="5"/>
        <v>558.41999999999996</v>
      </c>
      <c r="H33" s="174"/>
      <c r="I33" s="184"/>
    </row>
    <row r="34" spans="1:9" s="183" customFormat="1" ht="12" x14ac:dyDescent="0.3">
      <c r="A34" s="177"/>
      <c r="B34" s="178"/>
      <c r="C34" s="485" t="s">
        <v>327</v>
      </c>
      <c r="D34" s="180" t="s">
        <v>87</v>
      </c>
      <c r="E34" s="181">
        <v>7584.28</v>
      </c>
      <c r="F34" s="181">
        <v>60000</v>
      </c>
      <c r="G34" s="181">
        <v>558.41999999999996</v>
      </c>
      <c r="H34" s="174"/>
      <c r="I34" s="184"/>
    </row>
    <row r="35" spans="1:9" s="27" customFormat="1" x14ac:dyDescent="0.3">
      <c r="A35" s="20"/>
      <c r="B35" s="5">
        <v>64</v>
      </c>
      <c r="C35" s="474"/>
      <c r="D35" s="5" t="s">
        <v>89</v>
      </c>
      <c r="E35" s="61">
        <f>E36</f>
        <v>13.92</v>
      </c>
      <c r="F35" s="61">
        <f t="shared" ref="F35:G37" si="6">F36</f>
        <v>0</v>
      </c>
      <c r="G35" s="61">
        <f t="shared" si="6"/>
        <v>0</v>
      </c>
      <c r="H35" s="59">
        <f t="shared" si="0"/>
        <v>0</v>
      </c>
      <c r="I35" s="73" t="e">
        <f t="shared" si="1"/>
        <v>#DIV/0!</v>
      </c>
    </row>
    <row r="36" spans="1:9" s="27" customFormat="1" x14ac:dyDescent="0.3">
      <c r="A36" s="20"/>
      <c r="B36" s="5">
        <v>641</v>
      </c>
      <c r="C36" s="474"/>
      <c r="D36" s="5" t="s">
        <v>179</v>
      </c>
      <c r="E36" s="61">
        <f>E37</f>
        <v>13.92</v>
      </c>
      <c r="F36" s="61">
        <f t="shared" si="6"/>
        <v>0</v>
      </c>
      <c r="G36" s="61">
        <f t="shared" si="6"/>
        <v>0</v>
      </c>
      <c r="H36" s="59">
        <f t="shared" si="0"/>
        <v>0</v>
      </c>
      <c r="I36" s="73" t="e">
        <f t="shared" si="1"/>
        <v>#DIV/0!</v>
      </c>
    </row>
    <row r="37" spans="1:9" s="176" customFormat="1" ht="12" x14ac:dyDescent="0.3">
      <c r="A37" s="171"/>
      <c r="B37" s="172">
        <v>6413</v>
      </c>
      <c r="C37" s="475"/>
      <c r="D37" s="172" t="s">
        <v>114</v>
      </c>
      <c r="E37" s="173">
        <f>E38</f>
        <v>13.92</v>
      </c>
      <c r="F37" s="173">
        <f t="shared" si="6"/>
        <v>0</v>
      </c>
      <c r="G37" s="173">
        <f t="shared" si="6"/>
        <v>0</v>
      </c>
      <c r="H37" s="174">
        <f t="shared" si="0"/>
        <v>0</v>
      </c>
      <c r="I37" s="185" t="e">
        <f t="shared" si="1"/>
        <v>#DIV/0!</v>
      </c>
    </row>
    <row r="38" spans="1:9" s="183" customFormat="1" ht="12" x14ac:dyDescent="0.3">
      <c r="A38" s="177"/>
      <c r="B38" s="178"/>
      <c r="C38" s="485" t="s">
        <v>90</v>
      </c>
      <c r="D38" s="180" t="s">
        <v>91</v>
      </c>
      <c r="E38" s="181">
        <v>13.92</v>
      </c>
      <c r="F38" s="181">
        <v>0</v>
      </c>
      <c r="G38" s="181">
        <v>0</v>
      </c>
      <c r="H38" s="174">
        <f t="shared" si="0"/>
        <v>0</v>
      </c>
      <c r="I38" s="182" t="e">
        <f t="shared" si="1"/>
        <v>#DIV/0!</v>
      </c>
    </row>
    <row r="39" spans="1:9" s="27" customFormat="1" ht="26.4" x14ac:dyDescent="0.3">
      <c r="A39" s="35"/>
      <c r="B39" s="11">
        <v>65</v>
      </c>
      <c r="C39" s="472"/>
      <c r="D39" s="186" t="s">
        <v>92</v>
      </c>
      <c r="E39" s="61">
        <f>E40</f>
        <v>6131</v>
      </c>
      <c r="F39" s="61">
        <f t="shared" ref="F39:G41" si="7">F40</f>
        <v>9500</v>
      </c>
      <c r="G39" s="61">
        <f t="shared" si="7"/>
        <v>5668.94</v>
      </c>
      <c r="H39" s="59">
        <f t="shared" si="0"/>
        <v>92.463545914206478</v>
      </c>
      <c r="I39" s="73">
        <f t="shared" si="1"/>
        <v>59.67305263157894</v>
      </c>
    </row>
    <row r="40" spans="1:9" s="27" customFormat="1" x14ac:dyDescent="0.3">
      <c r="A40" s="35"/>
      <c r="B40" s="11">
        <v>652</v>
      </c>
      <c r="C40" s="472"/>
      <c r="D40" s="186" t="s">
        <v>180</v>
      </c>
      <c r="E40" s="61">
        <f>E41</f>
        <v>6131</v>
      </c>
      <c r="F40" s="61">
        <f t="shared" si="7"/>
        <v>9500</v>
      </c>
      <c r="G40" s="61">
        <f t="shared" si="7"/>
        <v>5668.94</v>
      </c>
      <c r="H40" s="59">
        <f t="shared" si="0"/>
        <v>92.463545914206478</v>
      </c>
      <c r="I40" s="73">
        <f t="shared" si="1"/>
        <v>59.67305263157894</v>
      </c>
    </row>
    <row r="41" spans="1:9" s="176" customFormat="1" ht="12" x14ac:dyDescent="0.3">
      <c r="A41" s="187"/>
      <c r="B41" s="188">
        <v>6526</v>
      </c>
      <c r="C41" s="477"/>
      <c r="D41" s="189" t="s">
        <v>181</v>
      </c>
      <c r="E41" s="173">
        <f>E42</f>
        <v>6131</v>
      </c>
      <c r="F41" s="173">
        <f t="shared" si="7"/>
        <v>9500</v>
      </c>
      <c r="G41" s="173">
        <f t="shared" si="7"/>
        <v>5668.94</v>
      </c>
      <c r="H41" s="174">
        <f t="shared" si="0"/>
        <v>92.463545914206478</v>
      </c>
      <c r="I41" s="185">
        <f t="shared" si="1"/>
        <v>59.67305263157894</v>
      </c>
    </row>
    <row r="42" spans="1:9" s="183" customFormat="1" ht="12" x14ac:dyDescent="0.3">
      <c r="A42" s="177"/>
      <c r="B42" s="178"/>
      <c r="C42" s="485" t="s">
        <v>86</v>
      </c>
      <c r="D42" s="180" t="s">
        <v>93</v>
      </c>
      <c r="E42" s="181">
        <v>6131</v>
      </c>
      <c r="F42" s="181">
        <v>9500</v>
      </c>
      <c r="G42" s="181">
        <v>5668.94</v>
      </c>
      <c r="H42" s="174">
        <f t="shared" si="0"/>
        <v>92.463545914206478</v>
      </c>
      <c r="I42" s="182">
        <f t="shared" si="1"/>
        <v>59.67305263157894</v>
      </c>
    </row>
    <row r="43" spans="1:9" s="27" customFormat="1" ht="26.4" x14ac:dyDescent="0.3">
      <c r="A43" s="35"/>
      <c r="B43" s="11">
        <v>66</v>
      </c>
      <c r="C43" s="472"/>
      <c r="D43" s="186" t="s">
        <v>94</v>
      </c>
      <c r="E43" s="61">
        <f>E44+E49</f>
        <v>6252.91</v>
      </c>
      <c r="F43" s="61">
        <f t="shared" ref="F43:G43" si="8">F44+F49</f>
        <v>7600</v>
      </c>
      <c r="G43" s="61">
        <f t="shared" si="8"/>
        <v>4607.0599999999995</v>
      </c>
      <c r="H43" s="59">
        <f t="shared" si="0"/>
        <v>73.67865521813043</v>
      </c>
      <c r="I43" s="73">
        <f t="shared" si="1"/>
        <v>60.619210526315783</v>
      </c>
    </row>
    <row r="44" spans="1:9" s="27" customFormat="1" x14ac:dyDescent="0.3">
      <c r="A44" s="35"/>
      <c r="B44" s="11">
        <v>661</v>
      </c>
      <c r="C44" s="472"/>
      <c r="D44" s="186" t="s">
        <v>182</v>
      </c>
      <c r="E44" s="61">
        <f>E45+E47</f>
        <v>5552.91</v>
      </c>
      <c r="F44" s="61">
        <f>F45+F47</f>
        <v>7000</v>
      </c>
      <c r="G44" s="61">
        <f>G45+G47</f>
        <v>4580.4799999999996</v>
      </c>
      <c r="H44" s="59">
        <f t="shared" si="0"/>
        <v>82.487920747860116</v>
      </c>
      <c r="I44" s="73">
        <f t="shared" si="1"/>
        <v>65.43542857142856</v>
      </c>
    </row>
    <row r="45" spans="1:9" s="176" customFormat="1" ht="12.75" customHeight="1" x14ac:dyDescent="0.3">
      <c r="A45" s="187"/>
      <c r="B45" s="188">
        <v>6614</v>
      </c>
      <c r="C45" s="477"/>
      <c r="D45" s="189" t="s">
        <v>183</v>
      </c>
      <c r="E45" s="173">
        <f>SUM(E46:E46)</f>
        <v>0</v>
      </c>
      <c r="F45" s="173">
        <f>SUM(F46:F46)</f>
        <v>0</v>
      </c>
      <c r="G45" s="173">
        <f>SUM(G46:G46)</f>
        <v>0</v>
      </c>
      <c r="H45" s="174" t="e">
        <f t="shared" si="0"/>
        <v>#DIV/0!</v>
      </c>
      <c r="I45" s="185" t="e">
        <f t="shared" si="1"/>
        <v>#DIV/0!</v>
      </c>
    </row>
    <row r="46" spans="1:9" s="183" customFormat="1" ht="12" x14ac:dyDescent="0.3">
      <c r="A46" s="177"/>
      <c r="B46" s="178"/>
      <c r="C46" s="485" t="s">
        <v>90</v>
      </c>
      <c r="D46" s="180" t="s">
        <v>91</v>
      </c>
      <c r="E46" s="181"/>
      <c r="F46" s="181"/>
      <c r="G46" s="181"/>
      <c r="H46" s="174" t="e">
        <f t="shared" si="0"/>
        <v>#DIV/0!</v>
      </c>
      <c r="I46" s="182" t="e">
        <f t="shared" si="1"/>
        <v>#DIV/0!</v>
      </c>
    </row>
    <row r="47" spans="1:9" s="176" customFormat="1" ht="12" x14ac:dyDescent="0.3">
      <c r="A47" s="187"/>
      <c r="B47" s="188">
        <v>6615</v>
      </c>
      <c r="C47" s="477"/>
      <c r="D47" s="189" t="s">
        <v>184</v>
      </c>
      <c r="E47" s="173">
        <f>SUM(E48:E48)</f>
        <v>5552.91</v>
      </c>
      <c r="F47" s="173">
        <f>SUM(F48:F48)</f>
        <v>7000</v>
      </c>
      <c r="G47" s="173">
        <f>SUM(G48:G48)</f>
        <v>4580.4799999999996</v>
      </c>
      <c r="H47" s="174">
        <f t="shared" si="0"/>
        <v>82.487920747860116</v>
      </c>
      <c r="I47" s="185">
        <f t="shared" si="1"/>
        <v>65.43542857142856</v>
      </c>
    </row>
    <row r="48" spans="1:9" s="183" customFormat="1" ht="12" x14ac:dyDescent="0.3">
      <c r="A48" s="177"/>
      <c r="B48" s="178"/>
      <c r="C48" s="485" t="s">
        <v>90</v>
      </c>
      <c r="D48" s="180" t="s">
        <v>91</v>
      </c>
      <c r="E48" s="181">
        <v>5552.91</v>
      </c>
      <c r="F48" s="181">
        <v>7000</v>
      </c>
      <c r="G48" s="181">
        <v>4580.4799999999996</v>
      </c>
      <c r="H48" s="174">
        <f t="shared" si="0"/>
        <v>82.487920747860116</v>
      </c>
      <c r="I48" s="182">
        <f t="shared" si="1"/>
        <v>65.43542857142856</v>
      </c>
    </row>
    <row r="49" spans="1:9" s="27" customFormat="1" x14ac:dyDescent="0.3">
      <c r="A49" s="35"/>
      <c r="B49" s="11">
        <v>663</v>
      </c>
      <c r="C49" s="472"/>
      <c r="D49" s="186" t="s">
        <v>188</v>
      </c>
      <c r="E49" s="61">
        <f>E50+E52</f>
        <v>700</v>
      </c>
      <c r="F49" s="61">
        <f t="shared" ref="F49:G49" si="9">F50+F52</f>
        <v>600</v>
      </c>
      <c r="G49" s="61">
        <f t="shared" si="9"/>
        <v>26.58</v>
      </c>
      <c r="H49" s="59">
        <f t="shared" si="0"/>
        <v>3.7971428571428567</v>
      </c>
      <c r="I49" s="73">
        <f t="shared" si="1"/>
        <v>4.43</v>
      </c>
    </row>
    <row r="50" spans="1:9" s="176" customFormat="1" ht="12" x14ac:dyDescent="0.3">
      <c r="A50" s="187"/>
      <c r="B50" s="188">
        <v>6631</v>
      </c>
      <c r="C50" s="477"/>
      <c r="D50" s="189" t="s">
        <v>117</v>
      </c>
      <c r="E50" s="173">
        <f>E51</f>
        <v>700</v>
      </c>
      <c r="F50" s="173">
        <f t="shared" ref="F50:G50" si="10">F51</f>
        <v>600</v>
      </c>
      <c r="G50" s="173">
        <f t="shared" si="10"/>
        <v>26.58</v>
      </c>
      <c r="H50" s="174">
        <f t="shared" si="0"/>
        <v>3.7971428571428567</v>
      </c>
      <c r="I50" s="185">
        <f t="shared" si="1"/>
        <v>4.43</v>
      </c>
    </row>
    <row r="51" spans="1:9" s="183" customFormat="1" ht="12" x14ac:dyDescent="0.3">
      <c r="A51" s="177"/>
      <c r="B51" s="178"/>
      <c r="C51" s="485" t="s">
        <v>95</v>
      </c>
      <c r="D51" s="180" t="s">
        <v>189</v>
      </c>
      <c r="E51" s="181">
        <v>700</v>
      </c>
      <c r="F51" s="181">
        <v>600</v>
      </c>
      <c r="G51" s="181">
        <v>26.58</v>
      </c>
      <c r="H51" s="174">
        <f t="shared" si="0"/>
        <v>3.7971428571428567</v>
      </c>
      <c r="I51" s="182">
        <f t="shared" si="1"/>
        <v>4.43</v>
      </c>
    </row>
    <row r="52" spans="1:9" s="176" customFormat="1" ht="12" x14ac:dyDescent="0.3">
      <c r="A52" s="187"/>
      <c r="B52" s="188">
        <v>6632</v>
      </c>
      <c r="C52" s="477"/>
      <c r="D52" s="189" t="s">
        <v>118</v>
      </c>
      <c r="E52" s="173">
        <f>SUM(E53:E53)</f>
        <v>0</v>
      </c>
      <c r="F52" s="173">
        <f>SUM(F53:F53)</f>
        <v>0</v>
      </c>
      <c r="G52" s="173">
        <f>SUM(G53:G53)</f>
        <v>0</v>
      </c>
      <c r="H52" s="174" t="e">
        <f t="shared" si="0"/>
        <v>#DIV/0!</v>
      </c>
      <c r="I52" s="185" t="e">
        <f t="shared" si="1"/>
        <v>#DIV/0!</v>
      </c>
    </row>
    <row r="53" spans="1:9" s="183" customFormat="1" ht="12" x14ac:dyDescent="0.3">
      <c r="A53" s="177"/>
      <c r="B53" s="178"/>
      <c r="C53" s="485" t="s">
        <v>97</v>
      </c>
      <c r="D53" s="180" t="s">
        <v>190</v>
      </c>
      <c r="E53" s="181"/>
      <c r="F53" s="181"/>
      <c r="G53" s="181"/>
      <c r="H53" s="174" t="e">
        <f t="shared" si="0"/>
        <v>#DIV/0!</v>
      </c>
      <c r="I53" s="182" t="e">
        <f t="shared" si="1"/>
        <v>#DIV/0!</v>
      </c>
    </row>
    <row r="54" spans="1:9" s="27" customFormat="1" x14ac:dyDescent="0.3">
      <c r="A54" s="35"/>
      <c r="B54" s="11">
        <v>67</v>
      </c>
      <c r="C54" s="473"/>
      <c r="D54" s="5" t="s">
        <v>39</v>
      </c>
      <c r="E54" s="61">
        <f>E55</f>
        <v>204902.05999999997</v>
      </c>
      <c r="F54" s="61">
        <f t="shared" ref="F54:G54" si="11">F55</f>
        <v>285879.91000000003</v>
      </c>
      <c r="G54" s="61">
        <f t="shared" si="11"/>
        <v>100641.74</v>
      </c>
      <c r="H54" s="59">
        <f t="shared" si="0"/>
        <v>49.116997652439423</v>
      </c>
      <c r="I54" s="73">
        <f t="shared" si="1"/>
        <v>35.20420165236515</v>
      </c>
    </row>
    <row r="55" spans="1:9" s="27" customFormat="1" ht="26.4" x14ac:dyDescent="0.3">
      <c r="A55" s="35"/>
      <c r="B55" s="11">
        <v>671</v>
      </c>
      <c r="C55" s="473"/>
      <c r="D55" s="5" t="s">
        <v>185</v>
      </c>
      <c r="E55" s="61">
        <f>E56+E62</f>
        <v>204902.05999999997</v>
      </c>
      <c r="F55" s="61">
        <f t="shared" ref="F55:G55" si="12">F56+F62</f>
        <v>285879.91000000003</v>
      </c>
      <c r="G55" s="61">
        <f t="shared" si="12"/>
        <v>100641.74</v>
      </c>
      <c r="H55" s="59">
        <f t="shared" si="0"/>
        <v>49.116997652439423</v>
      </c>
      <c r="I55" s="73">
        <f t="shared" si="1"/>
        <v>35.20420165236515</v>
      </c>
    </row>
    <row r="56" spans="1:9" s="176" customFormat="1" ht="12" x14ac:dyDescent="0.3">
      <c r="A56" s="187"/>
      <c r="B56" s="188">
        <v>6711</v>
      </c>
      <c r="C56" s="546"/>
      <c r="D56" s="172" t="s">
        <v>186</v>
      </c>
      <c r="E56" s="173">
        <f>SUM(E57:E61)</f>
        <v>204902.05999999997</v>
      </c>
      <c r="F56" s="173">
        <f t="shared" ref="F56:G56" si="13">SUM(F57:F61)</f>
        <v>285879.91000000003</v>
      </c>
      <c r="G56" s="173">
        <f t="shared" si="13"/>
        <v>100641.74</v>
      </c>
      <c r="H56" s="174">
        <f t="shared" si="0"/>
        <v>49.116997652439423</v>
      </c>
      <c r="I56" s="185">
        <f t="shared" si="1"/>
        <v>35.20420165236515</v>
      </c>
    </row>
    <row r="57" spans="1:9" s="183" customFormat="1" ht="12" x14ac:dyDescent="0.3">
      <c r="A57" s="177"/>
      <c r="B57" s="178"/>
      <c r="C57" s="485" t="s">
        <v>99</v>
      </c>
      <c r="D57" s="190" t="s">
        <v>16</v>
      </c>
      <c r="E57" s="181">
        <v>64469.91</v>
      </c>
      <c r="F57" s="181">
        <v>58752</v>
      </c>
      <c r="G57" s="181">
        <v>14534.05</v>
      </c>
      <c r="H57" s="174">
        <f t="shared" si="0"/>
        <v>22.543927857197254</v>
      </c>
      <c r="I57" s="182">
        <f t="shared" si="1"/>
        <v>24.737966367102395</v>
      </c>
    </row>
    <row r="58" spans="1:9" s="183" customFormat="1" ht="12" x14ac:dyDescent="0.3">
      <c r="A58" s="177"/>
      <c r="B58" s="178"/>
      <c r="C58" s="485" t="s">
        <v>100</v>
      </c>
      <c r="D58" s="190" t="s">
        <v>101</v>
      </c>
      <c r="E58" s="181">
        <v>72705.33</v>
      </c>
      <c r="F58" s="181">
        <v>178007.91</v>
      </c>
      <c r="G58" s="181">
        <v>54752.58</v>
      </c>
      <c r="H58" s="174">
        <f t="shared" si="0"/>
        <v>75.307518719741722</v>
      </c>
      <c r="I58" s="182">
        <f t="shared" si="1"/>
        <v>30.758509551626105</v>
      </c>
    </row>
    <row r="59" spans="1:9" s="183" customFormat="1" ht="12" x14ac:dyDescent="0.3">
      <c r="A59" s="177"/>
      <c r="B59" s="178"/>
      <c r="C59" s="485" t="s">
        <v>328</v>
      </c>
      <c r="D59" s="190" t="s">
        <v>102</v>
      </c>
      <c r="E59" s="181">
        <v>65514.49</v>
      </c>
      <c r="F59" s="181">
        <v>45120</v>
      </c>
      <c r="G59" s="181">
        <v>30436.83</v>
      </c>
      <c r="H59" s="174">
        <f t="shared" si="0"/>
        <v>46.458165208948436</v>
      </c>
      <c r="I59" s="182">
        <f t="shared" si="1"/>
        <v>67.457513297872339</v>
      </c>
    </row>
    <row r="60" spans="1:9" s="183" customFormat="1" ht="12" x14ac:dyDescent="0.3">
      <c r="A60" s="177"/>
      <c r="B60" s="178"/>
      <c r="C60" s="485" t="s">
        <v>329</v>
      </c>
      <c r="D60" s="190" t="s">
        <v>332</v>
      </c>
      <c r="E60" s="181">
        <v>0</v>
      </c>
      <c r="F60" s="181">
        <v>0</v>
      </c>
      <c r="G60" s="181">
        <v>0</v>
      </c>
      <c r="H60" s="174" t="e">
        <f t="shared" si="0"/>
        <v>#DIV/0!</v>
      </c>
      <c r="I60" s="182" t="e">
        <f t="shared" si="1"/>
        <v>#DIV/0!</v>
      </c>
    </row>
    <row r="61" spans="1:9" s="183" customFormat="1" ht="12" x14ac:dyDescent="0.3">
      <c r="A61" s="177"/>
      <c r="B61" s="178"/>
      <c r="C61" s="485" t="s">
        <v>330</v>
      </c>
      <c r="D61" s="190" t="s">
        <v>103</v>
      </c>
      <c r="E61" s="181">
        <v>2212.33</v>
      </c>
      <c r="F61" s="181">
        <v>4000</v>
      </c>
      <c r="G61" s="181">
        <v>918.28</v>
      </c>
      <c r="H61" s="174">
        <f t="shared" si="0"/>
        <v>41.507370057812352</v>
      </c>
      <c r="I61" s="182">
        <f t="shared" si="1"/>
        <v>22.957000000000001</v>
      </c>
    </row>
    <row r="62" spans="1:9" s="176" customFormat="1" ht="24" x14ac:dyDescent="0.3">
      <c r="A62" s="187"/>
      <c r="B62" s="188">
        <v>6712</v>
      </c>
      <c r="C62" s="546"/>
      <c r="D62" s="172" t="s">
        <v>187</v>
      </c>
      <c r="E62" s="173">
        <f>E63+E64</f>
        <v>0</v>
      </c>
      <c r="F62" s="173">
        <f t="shared" ref="F62:G62" si="14">F63+F64</f>
        <v>0</v>
      </c>
      <c r="G62" s="173">
        <f t="shared" si="14"/>
        <v>0</v>
      </c>
      <c r="H62" s="174" t="e">
        <f t="shared" si="0"/>
        <v>#DIV/0!</v>
      </c>
      <c r="I62" s="185" t="e">
        <f t="shared" si="1"/>
        <v>#DIV/0!</v>
      </c>
    </row>
    <row r="63" spans="1:9" s="183" customFormat="1" ht="12" x14ac:dyDescent="0.3">
      <c r="A63" s="177"/>
      <c r="B63" s="178"/>
      <c r="C63" s="485" t="s">
        <v>99</v>
      </c>
      <c r="D63" s="190" t="s">
        <v>16</v>
      </c>
      <c r="E63" s="181"/>
      <c r="F63" s="181">
        <v>0</v>
      </c>
      <c r="G63" s="181">
        <v>0</v>
      </c>
      <c r="H63" s="174" t="e">
        <f t="shared" si="0"/>
        <v>#DIV/0!</v>
      </c>
      <c r="I63" s="182" t="e">
        <f t="shared" si="1"/>
        <v>#DIV/0!</v>
      </c>
    </row>
    <row r="64" spans="1:9" s="183" customFormat="1" ht="12" x14ac:dyDescent="0.3">
      <c r="A64" s="177"/>
      <c r="B64" s="178"/>
      <c r="C64" s="485" t="s">
        <v>100</v>
      </c>
      <c r="D64" s="190" t="s">
        <v>101</v>
      </c>
      <c r="E64" s="181"/>
      <c r="F64" s="181">
        <v>0</v>
      </c>
      <c r="G64" s="181">
        <v>0</v>
      </c>
      <c r="H64" s="174" t="e">
        <f t="shared" si="0"/>
        <v>#DIV/0!</v>
      </c>
      <c r="I64" s="182" t="e">
        <f t="shared" si="1"/>
        <v>#DIV/0!</v>
      </c>
    </row>
    <row r="65" spans="1:9" s="27" customFormat="1" x14ac:dyDescent="0.3">
      <c r="A65" s="20"/>
      <c r="B65" s="5">
        <v>68</v>
      </c>
      <c r="C65" s="474"/>
      <c r="D65" s="5" t="s">
        <v>106</v>
      </c>
      <c r="E65" s="61">
        <f>E66</f>
        <v>0</v>
      </c>
      <c r="F65" s="61">
        <f t="shared" ref="F65:G67" si="15">F66</f>
        <v>0</v>
      </c>
      <c r="G65" s="61">
        <f t="shared" si="15"/>
        <v>0</v>
      </c>
      <c r="H65" s="59" t="e">
        <f t="shared" si="0"/>
        <v>#DIV/0!</v>
      </c>
      <c r="I65" s="73" t="e">
        <f t="shared" si="1"/>
        <v>#DIV/0!</v>
      </c>
    </row>
    <row r="66" spans="1:9" s="27" customFormat="1" x14ac:dyDescent="0.3">
      <c r="A66" s="20"/>
      <c r="B66" s="5">
        <v>683</v>
      </c>
      <c r="C66" s="474"/>
      <c r="D66" s="5" t="s">
        <v>115</v>
      </c>
      <c r="E66" s="61">
        <f>E67</f>
        <v>0</v>
      </c>
      <c r="F66" s="61">
        <f t="shared" si="15"/>
        <v>0</v>
      </c>
      <c r="G66" s="61">
        <f t="shared" si="15"/>
        <v>0</v>
      </c>
      <c r="H66" s="59" t="e">
        <f t="shared" si="0"/>
        <v>#DIV/0!</v>
      </c>
      <c r="I66" s="73" t="e">
        <f t="shared" si="1"/>
        <v>#DIV/0!</v>
      </c>
    </row>
    <row r="67" spans="1:9" s="176" customFormat="1" ht="12" x14ac:dyDescent="0.3">
      <c r="A67" s="171"/>
      <c r="B67" s="172">
        <v>6831</v>
      </c>
      <c r="C67" s="475"/>
      <c r="D67" s="172" t="s">
        <v>115</v>
      </c>
      <c r="E67" s="173">
        <f>E68</f>
        <v>0</v>
      </c>
      <c r="F67" s="173">
        <f t="shared" si="15"/>
        <v>0</v>
      </c>
      <c r="G67" s="173">
        <f t="shared" si="15"/>
        <v>0</v>
      </c>
      <c r="H67" s="174" t="e">
        <f t="shared" si="0"/>
        <v>#DIV/0!</v>
      </c>
      <c r="I67" s="185" t="e">
        <f t="shared" si="1"/>
        <v>#DIV/0!</v>
      </c>
    </row>
    <row r="68" spans="1:9" s="183" customFormat="1" ht="12" x14ac:dyDescent="0.3">
      <c r="A68" s="177"/>
      <c r="B68" s="178"/>
      <c r="C68" s="485" t="s">
        <v>90</v>
      </c>
      <c r="D68" s="180" t="s">
        <v>91</v>
      </c>
      <c r="E68" s="181">
        <v>0</v>
      </c>
      <c r="F68" s="181">
        <v>0</v>
      </c>
      <c r="G68" s="181">
        <v>0</v>
      </c>
      <c r="H68" s="174" t="e">
        <f t="shared" si="0"/>
        <v>#DIV/0!</v>
      </c>
      <c r="I68" s="182" t="e">
        <f t="shared" si="1"/>
        <v>#DIV/0!</v>
      </c>
    </row>
    <row r="69" spans="1:9" s="27" customFormat="1" x14ac:dyDescent="0.3">
      <c r="A69" s="30">
        <v>7</v>
      </c>
      <c r="B69" s="6"/>
      <c r="C69" s="478"/>
      <c r="D69" s="10" t="s">
        <v>17</v>
      </c>
      <c r="E69" s="61">
        <f>E70</f>
        <v>0</v>
      </c>
      <c r="F69" s="61">
        <f t="shared" ref="F69:G72" si="16">F70</f>
        <v>0</v>
      </c>
      <c r="G69" s="61">
        <f t="shared" si="16"/>
        <v>0</v>
      </c>
      <c r="H69" s="59" t="e">
        <f t="shared" si="0"/>
        <v>#DIV/0!</v>
      </c>
      <c r="I69" s="73" t="e">
        <f t="shared" si="1"/>
        <v>#DIV/0!</v>
      </c>
    </row>
    <row r="70" spans="1:9" s="27" customFormat="1" x14ac:dyDescent="0.3">
      <c r="A70" s="20"/>
      <c r="B70" s="5">
        <v>72</v>
      </c>
      <c r="C70" s="474"/>
      <c r="D70" s="10" t="s">
        <v>37</v>
      </c>
      <c r="E70" s="61">
        <f>E71</f>
        <v>0</v>
      </c>
      <c r="F70" s="61">
        <f t="shared" si="16"/>
        <v>0</v>
      </c>
      <c r="G70" s="61">
        <f t="shared" si="16"/>
        <v>0</v>
      </c>
      <c r="H70" s="59" t="e">
        <f t="shared" si="0"/>
        <v>#DIV/0!</v>
      </c>
      <c r="I70" s="73" t="e">
        <f t="shared" si="1"/>
        <v>#DIV/0!</v>
      </c>
    </row>
    <row r="71" spans="1:9" s="27" customFormat="1" x14ac:dyDescent="0.3">
      <c r="A71" s="20"/>
      <c r="B71" s="5">
        <v>721</v>
      </c>
      <c r="C71" s="474"/>
      <c r="D71" s="10" t="s">
        <v>119</v>
      </c>
      <c r="E71" s="61">
        <f>E72</f>
        <v>0</v>
      </c>
      <c r="F71" s="61">
        <f t="shared" si="16"/>
        <v>0</v>
      </c>
      <c r="G71" s="61">
        <f t="shared" si="16"/>
        <v>0</v>
      </c>
      <c r="H71" s="59" t="e">
        <f t="shared" si="0"/>
        <v>#DIV/0!</v>
      </c>
      <c r="I71" s="73" t="e">
        <f t="shared" si="1"/>
        <v>#DIV/0!</v>
      </c>
    </row>
    <row r="72" spans="1:9" s="176" customFormat="1" ht="12" x14ac:dyDescent="0.3">
      <c r="A72" s="171"/>
      <c r="B72" s="172">
        <v>7214</v>
      </c>
      <c r="C72" s="475"/>
      <c r="D72" s="191" t="s">
        <v>195</v>
      </c>
      <c r="E72" s="173">
        <f>E73</f>
        <v>0</v>
      </c>
      <c r="F72" s="173">
        <f t="shared" si="16"/>
        <v>0</v>
      </c>
      <c r="G72" s="173">
        <f t="shared" si="16"/>
        <v>0</v>
      </c>
      <c r="H72" s="174" t="e">
        <f t="shared" si="0"/>
        <v>#DIV/0!</v>
      </c>
      <c r="I72" s="185" t="e">
        <f t="shared" si="1"/>
        <v>#DIV/0!</v>
      </c>
    </row>
    <row r="73" spans="1:9" s="183" customFormat="1" ht="12" x14ac:dyDescent="0.3">
      <c r="A73" s="192"/>
      <c r="B73" s="193"/>
      <c r="C73" s="485" t="s">
        <v>104</v>
      </c>
      <c r="D73" s="180" t="s">
        <v>105</v>
      </c>
      <c r="E73" s="181"/>
      <c r="F73" s="168"/>
      <c r="G73" s="168"/>
      <c r="H73" s="174" t="e">
        <f t="shared" si="0"/>
        <v>#DIV/0!</v>
      </c>
      <c r="I73" s="194" t="e">
        <f t="shared" si="1"/>
        <v>#DIV/0!</v>
      </c>
    </row>
    <row r="74" spans="1:9" s="27" customFormat="1" x14ac:dyDescent="0.3">
      <c r="A74" s="30">
        <v>9</v>
      </c>
      <c r="B74" s="6"/>
      <c r="C74" s="478"/>
      <c r="D74" s="10" t="s">
        <v>45</v>
      </c>
      <c r="E74" s="61">
        <f>E75</f>
        <v>0</v>
      </c>
      <c r="F74" s="61">
        <f t="shared" ref="F74:G76" si="17">F75</f>
        <v>0</v>
      </c>
      <c r="G74" s="61">
        <f t="shared" si="17"/>
        <v>0</v>
      </c>
      <c r="H74" s="59" t="e">
        <f t="shared" si="0"/>
        <v>#DIV/0!</v>
      </c>
      <c r="I74" s="73" t="e">
        <f t="shared" si="1"/>
        <v>#DIV/0!</v>
      </c>
    </row>
    <row r="75" spans="1:9" s="27" customFormat="1" x14ac:dyDescent="0.3">
      <c r="A75" s="20"/>
      <c r="B75" s="5">
        <v>92</v>
      </c>
      <c r="C75" s="474"/>
      <c r="D75" s="10" t="s">
        <v>46</v>
      </c>
      <c r="E75" s="61">
        <f>E76</f>
        <v>0</v>
      </c>
      <c r="F75" s="61">
        <f t="shared" si="17"/>
        <v>0</v>
      </c>
      <c r="G75" s="61">
        <f t="shared" si="17"/>
        <v>0</v>
      </c>
      <c r="H75" s="59" t="e">
        <f t="shared" si="0"/>
        <v>#DIV/0!</v>
      </c>
      <c r="I75" s="73" t="e">
        <f t="shared" si="1"/>
        <v>#DIV/0!</v>
      </c>
    </row>
    <row r="76" spans="1:9" s="27" customFormat="1" x14ac:dyDescent="0.3">
      <c r="A76" s="20"/>
      <c r="B76" s="5">
        <v>922</v>
      </c>
      <c r="C76" s="474"/>
      <c r="D76" s="10" t="s">
        <v>148</v>
      </c>
      <c r="E76" s="61">
        <f>E77</f>
        <v>0</v>
      </c>
      <c r="F76" s="61">
        <f t="shared" si="17"/>
        <v>0</v>
      </c>
      <c r="G76" s="61">
        <f t="shared" si="17"/>
        <v>0</v>
      </c>
      <c r="H76" s="59" t="e">
        <f t="shared" si="0"/>
        <v>#DIV/0!</v>
      </c>
      <c r="I76" s="73" t="e">
        <f t="shared" si="1"/>
        <v>#DIV/0!</v>
      </c>
    </row>
    <row r="77" spans="1:9" s="176" customFormat="1" ht="12" x14ac:dyDescent="0.3">
      <c r="A77" s="171"/>
      <c r="B77" s="172">
        <v>9221</v>
      </c>
      <c r="C77" s="475"/>
      <c r="D77" s="191" t="s">
        <v>116</v>
      </c>
      <c r="E77" s="173">
        <f>SUM(E78:E84)</f>
        <v>0</v>
      </c>
      <c r="F77" s="173">
        <f>SUM(F78:F84)</f>
        <v>0</v>
      </c>
      <c r="G77" s="173">
        <f>SUM(G78:G84)</f>
        <v>0</v>
      </c>
      <c r="H77" s="174" t="e">
        <f t="shared" si="0"/>
        <v>#DIV/0!</v>
      </c>
      <c r="I77" s="185" t="e">
        <f t="shared" si="1"/>
        <v>#DIV/0!</v>
      </c>
    </row>
    <row r="78" spans="1:9" s="183" customFormat="1" ht="12" x14ac:dyDescent="0.3">
      <c r="A78" s="192"/>
      <c r="B78" s="193"/>
      <c r="C78" s="485" t="s">
        <v>100</v>
      </c>
      <c r="D78" s="190" t="s">
        <v>101</v>
      </c>
      <c r="E78" s="181"/>
      <c r="F78" s="181"/>
      <c r="G78" s="181"/>
      <c r="H78" s="174" t="e">
        <f t="shared" si="0"/>
        <v>#DIV/0!</v>
      </c>
      <c r="I78" s="184" t="e">
        <f t="shared" si="1"/>
        <v>#DIV/0!</v>
      </c>
    </row>
    <row r="79" spans="1:9" s="183" customFormat="1" ht="12" x14ac:dyDescent="0.3">
      <c r="A79" s="192"/>
      <c r="B79" s="193"/>
      <c r="C79" s="485" t="s">
        <v>90</v>
      </c>
      <c r="D79" s="180" t="s">
        <v>91</v>
      </c>
      <c r="E79" s="181"/>
      <c r="F79" s="181"/>
      <c r="G79" s="181"/>
      <c r="H79" s="174" t="e">
        <f t="shared" si="0"/>
        <v>#DIV/0!</v>
      </c>
      <c r="I79" s="184" t="e">
        <f t="shared" si="1"/>
        <v>#DIV/0!</v>
      </c>
    </row>
    <row r="80" spans="1:9" s="183" customFormat="1" ht="12" x14ac:dyDescent="0.3">
      <c r="A80" s="192"/>
      <c r="B80" s="193"/>
      <c r="C80" s="485" t="s">
        <v>86</v>
      </c>
      <c r="D80" s="180" t="s">
        <v>93</v>
      </c>
      <c r="E80" s="181"/>
      <c r="F80" s="181"/>
      <c r="G80" s="181"/>
      <c r="H80" s="174" t="e">
        <f t="shared" si="0"/>
        <v>#DIV/0!</v>
      </c>
      <c r="I80" s="184" t="e">
        <f t="shared" si="1"/>
        <v>#DIV/0!</v>
      </c>
    </row>
    <row r="81" spans="1:9" s="183" customFormat="1" ht="12" x14ac:dyDescent="0.3">
      <c r="A81" s="192"/>
      <c r="B81" s="193"/>
      <c r="C81" s="485" t="s">
        <v>327</v>
      </c>
      <c r="D81" s="180" t="s">
        <v>87</v>
      </c>
      <c r="E81" s="181"/>
      <c r="F81" s="181"/>
      <c r="G81" s="181"/>
      <c r="H81" s="174" t="e">
        <f t="shared" si="0"/>
        <v>#DIV/0!</v>
      </c>
      <c r="I81" s="184" t="e">
        <f t="shared" si="1"/>
        <v>#DIV/0!</v>
      </c>
    </row>
    <row r="82" spans="1:9" s="183" customFormat="1" ht="12" x14ac:dyDescent="0.3">
      <c r="A82" s="195"/>
      <c r="B82" s="196"/>
      <c r="C82" s="547" t="s">
        <v>331</v>
      </c>
      <c r="D82" s="180" t="s">
        <v>88</v>
      </c>
      <c r="E82" s="197"/>
      <c r="F82" s="197"/>
      <c r="G82" s="197"/>
      <c r="H82" s="174" t="e">
        <f t="shared" si="0"/>
        <v>#DIV/0!</v>
      </c>
      <c r="I82" s="184" t="e">
        <f t="shared" si="1"/>
        <v>#DIV/0!</v>
      </c>
    </row>
    <row r="83" spans="1:9" s="183" customFormat="1" ht="12" x14ac:dyDescent="0.3">
      <c r="A83" s="195"/>
      <c r="B83" s="196"/>
      <c r="C83" s="547" t="s">
        <v>95</v>
      </c>
      <c r="D83" s="203" t="s">
        <v>96</v>
      </c>
      <c r="E83" s="197"/>
      <c r="F83" s="197"/>
      <c r="G83" s="197"/>
      <c r="H83" s="204" t="e">
        <f t="shared" si="0"/>
        <v>#DIV/0!</v>
      </c>
      <c r="I83" s="205" t="e">
        <f t="shared" si="1"/>
        <v>#DIV/0!</v>
      </c>
    </row>
    <row r="84" spans="1:9" s="183" customFormat="1" ht="12.6" thickBot="1" x14ac:dyDescent="0.35">
      <c r="A84" s="198"/>
      <c r="B84" s="199"/>
      <c r="C84" s="506" t="s">
        <v>104</v>
      </c>
      <c r="D84" s="200" t="s">
        <v>105</v>
      </c>
      <c r="E84" s="201"/>
      <c r="F84" s="166"/>
      <c r="G84" s="166"/>
      <c r="H84" s="166" t="e">
        <f t="shared" si="0"/>
        <v>#DIV/0!</v>
      </c>
      <c r="I84" s="202" t="e">
        <f t="shared" si="1"/>
        <v>#DIV/0!</v>
      </c>
    </row>
    <row r="85" spans="1:9" s="28" customFormat="1" x14ac:dyDescent="0.3">
      <c r="C85" s="481"/>
      <c r="E85" s="29"/>
      <c r="F85" s="29"/>
      <c r="G85" s="29"/>
      <c r="H85" s="29"/>
      <c r="I85" s="29"/>
    </row>
    <row r="86" spans="1:9" s="28" customFormat="1" ht="15.6" x14ac:dyDescent="0.3">
      <c r="A86" s="589" t="s">
        <v>18</v>
      </c>
      <c r="B86" s="613"/>
      <c r="C86" s="613"/>
      <c r="D86" s="613"/>
      <c r="E86" s="613"/>
      <c r="F86" s="613"/>
      <c r="G86" s="613"/>
      <c r="H86" s="613"/>
      <c r="I86" s="613"/>
    </row>
    <row r="87" spans="1:9" s="28" customFormat="1" ht="18" thickBot="1" x14ac:dyDescent="0.35">
      <c r="A87" s="3"/>
      <c r="B87" s="3"/>
      <c r="C87" s="466"/>
      <c r="D87" s="3"/>
      <c r="E87" s="14"/>
      <c r="F87" s="14"/>
      <c r="G87" s="14"/>
      <c r="H87" s="26"/>
      <c r="I87" s="26"/>
    </row>
    <row r="88" spans="1:9" s="28" customFormat="1" ht="27" thickBot="1" x14ac:dyDescent="0.35">
      <c r="A88" s="36" t="s">
        <v>13</v>
      </c>
      <c r="B88" s="37" t="s">
        <v>14</v>
      </c>
      <c r="C88" s="548" t="s">
        <v>15</v>
      </c>
      <c r="D88" s="37" t="s">
        <v>19</v>
      </c>
      <c r="E88" s="67" t="s">
        <v>318</v>
      </c>
      <c r="F88" s="53" t="s">
        <v>319</v>
      </c>
      <c r="G88" s="53" t="s">
        <v>320</v>
      </c>
      <c r="H88" s="34" t="s">
        <v>113</v>
      </c>
      <c r="I88" s="34" t="s">
        <v>113</v>
      </c>
    </row>
    <row r="89" spans="1:9" s="131" customFormat="1" ht="15" thickBot="1" x14ac:dyDescent="0.35">
      <c r="A89" s="132"/>
      <c r="B89" s="133"/>
      <c r="C89" s="482"/>
      <c r="D89" s="133">
        <v>1</v>
      </c>
      <c r="E89" s="169">
        <v>2</v>
      </c>
      <c r="F89" s="170">
        <v>3</v>
      </c>
      <c r="G89" s="170">
        <v>4</v>
      </c>
      <c r="H89" s="134" t="s">
        <v>175</v>
      </c>
      <c r="I89" s="135" t="s">
        <v>176</v>
      </c>
    </row>
    <row r="90" spans="1:9" s="27" customFormat="1" x14ac:dyDescent="0.3">
      <c r="A90" s="38">
        <v>3</v>
      </c>
      <c r="B90" s="39"/>
      <c r="C90" s="469"/>
      <c r="D90" s="39" t="s">
        <v>20</v>
      </c>
      <c r="E90" s="62">
        <f>E91+E116+E227+E235+E239</f>
        <v>1687969.53</v>
      </c>
      <c r="F90" s="62">
        <f t="shared" ref="F90:G90" si="18">F91+F116+F227+F235+F239</f>
        <v>1654979.9100000001</v>
      </c>
      <c r="G90" s="62">
        <f t="shared" si="18"/>
        <v>828516.36999999988</v>
      </c>
      <c r="H90" s="62">
        <f t="shared" ref="H90:H296" si="19">G90/E90*100</f>
        <v>49.083609346905675</v>
      </c>
      <c r="I90" s="74">
        <f t="shared" ref="I90:I296" si="20">G90/F90*100</f>
        <v>50.062019786089117</v>
      </c>
    </row>
    <row r="91" spans="1:9" s="27" customFormat="1" x14ac:dyDescent="0.3">
      <c r="A91" s="20"/>
      <c r="B91" s="5">
        <v>31</v>
      </c>
      <c r="C91" s="474"/>
      <c r="D91" s="5" t="s">
        <v>21</v>
      </c>
      <c r="E91" s="60">
        <f>E92+E110+E103</f>
        <v>1415427.1300000001</v>
      </c>
      <c r="F91" s="60">
        <f t="shared" ref="F91:G91" si="21">F92+F110+F103</f>
        <v>1362200</v>
      </c>
      <c r="G91" s="60">
        <f t="shared" si="21"/>
        <v>687930.7</v>
      </c>
      <c r="H91" s="60">
        <f t="shared" si="19"/>
        <v>48.602339563747087</v>
      </c>
      <c r="I91" s="72">
        <f t="shared" si="20"/>
        <v>50.501446189986787</v>
      </c>
    </row>
    <row r="92" spans="1:9" s="27" customFormat="1" x14ac:dyDescent="0.3">
      <c r="A92" s="20"/>
      <c r="B92" s="5">
        <v>311</v>
      </c>
      <c r="C92" s="474"/>
      <c r="D92" s="5" t="s">
        <v>161</v>
      </c>
      <c r="E92" s="60">
        <f t="shared" ref="E92:G92" si="22">E93+E99+E101</f>
        <v>1179750.8400000001</v>
      </c>
      <c r="F92" s="60">
        <f t="shared" si="22"/>
        <v>1138600</v>
      </c>
      <c r="G92" s="60">
        <f t="shared" si="22"/>
        <v>571584.5</v>
      </c>
      <c r="H92" s="60">
        <f t="shared" si="19"/>
        <v>48.449594661869448</v>
      </c>
      <c r="I92" s="72">
        <f t="shared" si="20"/>
        <v>50.200641138239945</v>
      </c>
    </row>
    <row r="93" spans="1:9" s="176" customFormat="1" ht="12" x14ac:dyDescent="0.3">
      <c r="A93" s="171"/>
      <c r="B93" s="172">
        <v>3111</v>
      </c>
      <c r="C93" s="475"/>
      <c r="D93" s="172" t="s">
        <v>162</v>
      </c>
      <c r="E93" s="167">
        <f t="shared" ref="E93" si="23">SUM(E94:E98)</f>
        <v>1126458.97</v>
      </c>
      <c r="F93" s="167">
        <f t="shared" ref="F93:G93" si="24">SUM(F94:F98)</f>
        <v>1091600</v>
      </c>
      <c r="G93" s="167">
        <f t="shared" si="24"/>
        <v>533840.14</v>
      </c>
      <c r="H93" s="167">
        <f t="shared" si="19"/>
        <v>47.390997294823798</v>
      </c>
      <c r="I93" s="175">
        <f t="shared" si="20"/>
        <v>48.904373396848669</v>
      </c>
    </row>
    <row r="94" spans="1:9" s="183" customFormat="1" ht="12" x14ac:dyDescent="0.3">
      <c r="A94" s="171"/>
      <c r="B94" s="193"/>
      <c r="C94" s="471" t="s">
        <v>99</v>
      </c>
      <c r="D94" s="190" t="s">
        <v>16</v>
      </c>
      <c r="E94" s="168">
        <f>'POSEBNI DIO'!C278+'POSEBNI DIO'!C346</f>
        <v>41727.339999999997</v>
      </c>
      <c r="F94" s="168">
        <f>'POSEBNI DIO'!D278+'POSEBNI DIO'!D346</f>
        <v>45040</v>
      </c>
      <c r="G94" s="168">
        <f>'POSEBNI DIO'!E278+'POSEBNI DIO'!E346</f>
        <v>13526.71</v>
      </c>
      <c r="H94" s="168">
        <f t="shared" si="19"/>
        <v>32.416899807176783</v>
      </c>
      <c r="I94" s="182">
        <f t="shared" si="20"/>
        <v>30.032659857904083</v>
      </c>
    </row>
    <row r="95" spans="1:9" s="183" customFormat="1" ht="12" x14ac:dyDescent="0.3">
      <c r="A95" s="171"/>
      <c r="B95" s="193"/>
      <c r="C95" s="471" t="s">
        <v>327</v>
      </c>
      <c r="D95" s="180" t="s">
        <v>87</v>
      </c>
      <c r="E95" s="168">
        <f>'POSEBNI DIO'!C161</f>
        <v>1031898.63</v>
      </c>
      <c r="F95" s="168">
        <f>'POSEBNI DIO'!D161</f>
        <v>990000</v>
      </c>
      <c r="G95" s="168">
        <v>495051.82</v>
      </c>
      <c r="H95" s="168">
        <f t="shared" si="19"/>
        <v>47.974850010218546</v>
      </c>
      <c r="I95" s="182">
        <f t="shared" si="20"/>
        <v>50.005234343434346</v>
      </c>
    </row>
    <row r="96" spans="1:9" s="183" customFormat="1" ht="12" x14ac:dyDescent="0.3">
      <c r="A96" s="171"/>
      <c r="B96" s="193"/>
      <c r="C96" s="485" t="s">
        <v>328</v>
      </c>
      <c r="D96" s="190" t="s">
        <v>102</v>
      </c>
      <c r="E96" s="168">
        <f>'POSEBNI DIO'!C361</f>
        <v>32997.93</v>
      </c>
      <c r="F96" s="168">
        <f>'POSEBNI DIO'!D361</f>
        <v>34560</v>
      </c>
      <c r="G96" s="168">
        <f>'POSEBNI DIO'!E361</f>
        <v>11734.92</v>
      </c>
      <c r="H96" s="168">
        <f t="shared" si="19"/>
        <v>35.56259438092026</v>
      </c>
      <c r="I96" s="182">
        <f t="shared" si="20"/>
        <v>33.955208333333331</v>
      </c>
    </row>
    <row r="97" spans="1:9" s="183" customFormat="1" ht="12" x14ac:dyDescent="0.3">
      <c r="A97" s="171"/>
      <c r="B97" s="193"/>
      <c r="C97" s="485" t="s">
        <v>329</v>
      </c>
      <c r="D97" s="190" t="s">
        <v>332</v>
      </c>
      <c r="E97" s="168">
        <f>'POSEBNI DIO'!C376</f>
        <v>0</v>
      </c>
      <c r="F97" s="168">
        <f>'POSEBNI DIO'!D376</f>
        <v>0</v>
      </c>
      <c r="G97" s="168">
        <f>'POSEBNI DIO'!E376</f>
        <v>0</v>
      </c>
      <c r="H97" s="168" t="e">
        <f t="shared" ref="H97" si="25">G97/E97*100</f>
        <v>#DIV/0!</v>
      </c>
      <c r="I97" s="182" t="e">
        <f t="shared" ref="I97" si="26">G97/F97*100</f>
        <v>#DIV/0!</v>
      </c>
    </row>
    <row r="98" spans="1:9" s="183" customFormat="1" ht="12" x14ac:dyDescent="0.3">
      <c r="A98" s="171"/>
      <c r="B98" s="193"/>
      <c r="C98" s="471" t="s">
        <v>331</v>
      </c>
      <c r="D98" s="180" t="s">
        <v>88</v>
      </c>
      <c r="E98" s="168">
        <f>'POSEBNI DIO'!C207+'POSEBNI DIO'!C303+'POSEBNI DIO'!C381</f>
        <v>19835.07</v>
      </c>
      <c r="F98" s="168">
        <f>'POSEBNI DIO'!D207+'POSEBNI DIO'!D303+'POSEBNI DIO'!D381</f>
        <v>22000</v>
      </c>
      <c r="G98" s="168">
        <f>'POSEBNI DIO'!E207+'POSEBNI DIO'!E303+'POSEBNI DIO'!E381</f>
        <v>13526.689999999999</v>
      </c>
      <c r="H98" s="168">
        <f t="shared" si="19"/>
        <v>68.195826886418843</v>
      </c>
      <c r="I98" s="182">
        <f t="shared" si="20"/>
        <v>61.484954545454542</v>
      </c>
    </row>
    <row r="99" spans="1:9" s="176" customFormat="1" ht="12" x14ac:dyDescent="0.3">
      <c r="A99" s="171"/>
      <c r="B99" s="172">
        <v>3113</v>
      </c>
      <c r="C99" s="475"/>
      <c r="D99" s="172" t="s">
        <v>163</v>
      </c>
      <c r="E99" s="167">
        <f t="shared" ref="E99:G99" si="27">E100</f>
        <v>33754.01</v>
      </c>
      <c r="F99" s="167">
        <f t="shared" si="27"/>
        <v>30000</v>
      </c>
      <c r="G99" s="167">
        <f t="shared" si="27"/>
        <v>26674.71</v>
      </c>
      <c r="H99" s="167">
        <f t="shared" si="19"/>
        <v>79.026788224569458</v>
      </c>
      <c r="I99" s="175">
        <f t="shared" si="20"/>
        <v>88.915700000000001</v>
      </c>
    </row>
    <row r="100" spans="1:9" s="183" customFormat="1" ht="12" x14ac:dyDescent="0.3">
      <c r="A100" s="171"/>
      <c r="B100" s="193"/>
      <c r="C100" s="471" t="s">
        <v>327</v>
      </c>
      <c r="D100" s="180" t="s">
        <v>87</v>
      </c>
      <c r="E100" s="168">
        <f>'POSEBNI DIO'!C162</f>
        <v>33754.01</v>
      </c>
      <c r="F100" s="168">
        <f>'POSEBNI DIO'!D162</f>
        <v>30000</v>
      </c>
      <c r="G100" s="168">
        <f>'POSEBNI DIO'!E162</f>
        <v>26674.71</v>
      </c>
      <c r="H100" s="168">
        <f t="shared" si="19"/>
        <v>79.026788224569458</v>
      </c>
      <c r="I100" s="182">
        <f t="shared" si="20"/>
        <v>88.915700000000001</v>
      </c>
    </row>
    <row r="101" spans="1:9" s="176" customFormat="1" ht="12" x14ac:dyDescent="0.3">
      <c r="A101" s="171"/>
      <c r="B101" s="172">
        <v>3114</v>
      </c>
      <c r="C101" s="475"/>
      <c r="D101" s="172" t="s">
        <v>164</v>
      </c>
      <c r="E101" s="167">
        <f t="shared" ref="E101:G101" si="28">E102</f>
        <v>19537.86</v>
      </c>
      <c r="F101" s="167">
        <f t="shared" si="28"/>
        <v>17000</v>
      </c>
      <c r="G101" s="167">
        <f t="shared" si="28"/>
        <v>11069.65</v>
      </c>
      <c r="H101" s="167">
        <f t="shared" si="19"/>
        <v>56.657433311529502</v>
      </c>
      <c r="I101" s="175">
        <f t="shared" si="20"/>
        <v>65.115588235294126</v>
      </c>
    </row>
    <row r="102" spans="1:9" s="183" customFormat="1" ht="12" x14ac:dyDescent="0.3">
      <c r="A102" s="171"/>
      <c r="B102" s="193"/>
      <c r="C102" s="471" t="s">
        <v>327</v>
      </c>
      <c r="D102" s="180" t="s">
        <v>87</v>
      </c>
      <c r="E102" s="168">
        <f>'POSEBNI DIO'!C163</f>
        <v>19537.86</v>
      </c>
      <c r="F102" s="168">
        <f>'POSEBNI DIO'!D163</f>
        <v>17000</v>
      </c>
      <c r="G102" s="168">
        <f>'POSEBNI DIO'!E163</f>
        <v>11069.65</v>
      </c>
      <c r="H102" s="168">
        <f t="shared" si="19"/>
        <v>56.657433311529502</v>
      </c>
      <c r="I102" s="182">
        <f t="shared" si="20"/>
        <v>65.115588235294126</v>
      </c>
    </row>
    <row r="103" spans="1:9" s="27" customFormat="1" x14ac:dyDescent="0.3">
      <c r="A103" s="20"/>
      <c r="B103" s="5">
        <v>312</v>
      </c>
      <c r="C103" s="474"/>
      <c r="D103" s="5" t="s">
        <v>146</v>
      </c>
      <c r="E103" s="60">
        <f t="shared" ref="E103:G103" si="29">E104</f>
        <v>43079.57</v>
      </c>
      <c r="F103" s="60">
        <f t="shared" si="29"/>
        <v>43600</v>
      </c>
      <c r="G103" s="60">
        <f t="shared" si="29"/>
        <v>22736.22</v>
      </c>
      <c r="H103" s="60">
        <f t="shared" si="19"/>
        <v>52.777267739673363</v>
      </c>
      <c r="I103" s="72">
        <f t="shared" si="20"/>
        <v>52.147293577981657</v>
      </c>
    </row>
    <row r="104" spans="1:9" s="176" customFormat="1" ht="12" x14ac:dyDescent="0.3">
      <c r="A104" s="171"/>
      <c r="B104" s="172">
        <v>3121</v>
      </c>
      <c r="C104" s="475"/>
      <c r="D104" s="172" t="s">
        <v>146</v>
      </c>
      <c r="E104" s="167">
        <f>SUM(E105:E109)</f>
        <v>43079.57</v>
      </c>
      <c r="F104" s="167">
        <f t="shared" ref="F104:G104" si="30">SUM(F105:F109)</f>
        <v>43600</v>
      </c>
      <c r="G104" s="167">
        <f t="shared" si="30"/>
        <v>22736.22</v>
      </c>
      <c r="H104" s="167">
        <f t="shared" si="19"/>
        <v>52.777267739673363</v>
      </c>
      <c r="I104" s="175">
        <f t="shared" si="20"/>
        <v>52.147293577981657</v>
      </c>
    </row>
    <row r="105" spans="1:9" s="183" customFormat="1" ht="12" x14ac:dyDescent="0.3">
      <c r="A105" s="171"/>
      <c r="B105" s="193"/>
      <c r="C105" s="471" t="s">
        <v>99</v>
      </c>
      <c r="D105" s="190" t="s">
        <v>16</v>
      </c>
      <c r="E105" s="168">
        <f>'POSEBNI DIO'!C280+'POSEBNI DIO'!C348</f>
        <v>2296.5699999999997</v>
      </c>
      <c r="F105" s="168">
        <f>'POSEBNI DIO'!D280+'POSEBNI DIO'!D348</f>
        <v>2800</v>
      </c>
      <c r="G105" s="168">
        <f>'POSEBNI DIO'!E280+'POSEBNI DIO'!E348</f>
        <v>1199.4099999999999</v>
      </c>
      <c r="H105" s="168">
        <f t="shared" si="19"/>
        <v>52.226145948087797</v>
      </c>
      <c r="I105" s="182">
        <f t="shared" si="20"/>
        <v>42.836071428571429</v>
      </c>
    </row>
    <row r="106" spans="1:9" s="183" customFormat="1" ht="12" x14ac:dyDescent="0.3">
      <c r="A106" s="171"/>
      <c r="B106" s="193"/>
      <c r="C106" s="471" t="s">
        <v>327</v>
      </c>
      <c r="D106" s="180" t="s">
        <v>87</v>
      </c>
      <c r="E106" s="168">
        <f>'POSEBNI DIO'!C165</f>
        <v>37688.129999999997</v>
      </c>
      <c r="F106" s="168">
        <f>'POSEBNI DIO'!D165</f>
        <v>37000</v>
      </c>
      <c r="G106" s="168">
        <f>'POSEBNI DIO'!E165</f>
        <v>19937.7</v>
      </c>
      <c r="H106" s="168">
        <f t="shared" si="19"/>
        <v>52.901802238529747</v>
      </c>
      <c r="I106" s="182">
        <f t="shared" si="20"/>
        <v>53.885675675675685</v>
      </c>
    </row>
    <row r="107" spans="1:9" s="183" customFormat="1" ht="12" x14ac:dyDescent="0.3">
      <c r="A107" s="171"/>
      <c r="B107" s="193"/>
      <c r="C107" s="485" t="s">
        <v>328</v>
      </c>
      <c r="D107" s="190" t="s">
        <v>102</v>
      </c>
      <c r="E107" s="168">
        <f>'POSEBNI DIO'!C363</f>
        <v>2394.87</v>
      </c>
      <c r="F107" s="168">
        <f>'POSEBNI DIO'!D363</f>
        <v>3000</v>
      </c>
      <c r="G107" s="168">
        <f>'POSEBNI DIO'!E363</f>
        <v>1199.1099999999999</v>
      </c>
      <c r="H107" s="168">
        <f t="shared" si="19"/>
        <v>50.069941165908794</v>
      </c>
      <c r="I107" s="182">
        <f t="shared" si="20"/>
        <v>39.970333333333329</v>
      </c>
    </row>
    <row r="108" spans="1:9" s="183" customFormat="1" ht="12" x14ac:dyDescent="0.3">
      <c r="A108" s="171"/>
      <c r="B108" s="193"/>
      <c r="C108" s="471" t="s">
        <v>331</v>
      </c>
      <c r="D108" s="180" t="s">
        <v>88</v>
      </c>
      <c r="E108" s="168">
        <f>'POSEBNI DIO'!C209+'POSEBNI DIO'!C305+'POSEBNI DIO'!C383</f>
        <v>700</v>
      </c>
      <c r="F108" s="168">
        <f>'POSEBNI DIO'!D209+'POSEBNI DIO'!D305+'POSEBNI DIO'!D383</f>
        <v>800</v>
      </c>
      <c r="G108" s="168">
        <f>'POSEBNI DIO'!E209+'POSEBNI DIO'!E305+'POSEBNI DIO'!E383</f>
        <v>400</v>
      </c>
      <c r="H108" s="168">
        <f t="shared" si="19"/>
        <v>57.142857142857139</v>
      </c>
      <c r="I108" s="182">
        <f t="shared" si="20"/>
        <v>50</v>
      </c>
    </row>
    <row r="109" spans="1:9" s="183" customFormat="1" ht="12" x14ac:dyDescent="0.3">
      <c r="A109" s="171"/>
      <c r="B109" s="193"/>
      <c r="C109" s="471" t="s">
        <v>95</v>
      </c>
      <c r="D109" s="180" t="s">
        <v>96</v>
      </c>
      <c r="E109" s="168">
        <f>'POSEBNI DIO'!C237</f>
        <v>0</v>
      </c>
      <c r="F109" s="168">
        <f>'POSEBNI DIO'!D237</f>
        <v>0</v>
      </c>
      <c r="G109" s="168">
        <f>'POSEBNI DIO'!E237</f>
        <v>0</v>
      </c>
      <c r="H109" s="168" t="e">
        <f t="shared" si="19"/>
        <v>#DIV/0!</v>
      </c>
      <c r="I109" s="182" t="e">
        <f t="shared" si="20"/>
        <v>#DIV/0!</v>
      </c>
    </row>
    <row r="110" spans="1:9" s="27" customFormat="1" x14ac:dyDescent="0.3">
      <c r="A110" s="20"/>
      <c r="B110" s="5">
        <v>313</v>
      </c>
      <c r="C110" s="474"/>
      <c r="D110" s="5" t="s">
        <v>165</v>
      </c>
      <c r="E110" s="60">
        <f>E111</f>
        <v>192596.72</v>
      </c>
      <c r="F110" s="60">
        <f t="shared" ref="F110:G110" si="31">F111</f>
        <v>180000</v>
      </c>
      <c r="G110" s="60">
        <f t="shared" si="31"/>
        <v>93609.98000000001</v>
      </c>
      <c r="H110" s="60">
        <f t="shared" si="19"/>
        <v>48.60414029896252</v>
      </c>
      <c r="I110" s="72">
        <f t="shared" si="20"/>
        <v>52.005544444444453</v>
      </c>
    </row>
    <row r="111" spans="1:9" s="176" customFormat="1" ht="12" x14ac:dyDescent="0.3">
      <c r="A111" s="171"/>
      <c r="B111" s="172">
        <v>3132</v>
      </c>
      <c r="C111" s="475"/>
      <c r="D111" s="172" t="s">
        <v>166</v>
      </c>
      <c r="E111" s="167">
        <f>SUM(E112:E115)</f>
        <v>192596.72</v>
      </c>
      <c r="F111" s="167">
        <f t="shared" ref="F111:G111" si="32">SUM(F112:F115)</f>
        <v>180000</v>
      </c>
      <c r="G111" s="167">
        <f t="shared" si="32"/>
        <v>93609.98000000001</v>
      </c>
      <c r="H111" s="167">
        <f t="shared" si="19"/>
        <v>48.60414029896252</v>
      </c>
      <c r="I111" s="175">
        <f t="shared" si="20"/>
        <v>52.005544444444453</v>
      </c>
    </row>
    <row r="112" spans="1:9" s="183" customFormat="1" ht="12" x14ac:dyDescent="0.3">
      <c r="A112" s="171"/>
      <c r="B112" s="193"/>
      <c r="C112" s="471" t="s">
        <v>99</v>
      </c>
      <c r="D112" s="190" t="s">
        <v>16</v>
      </c>
      <c r="E112" s="168">
        <f>'POSEBNI DIO'!C282+'POSEBNI DIO'!C350</f>
        <v>6896</v>
      </c>
      <c r="F112" s="168">
        <f>'POSEBNI DIO'!D282+'POSEBNI DIO'!D350</f>
        <v>7600</v>
      </c>
      <c r="G112" s="168">
        <f>'POSEBNI DIO'!E282+'POSEBNI DIO'!E350</f>
        <v>2877.27</v>
      </c>
      <c r="H112" s="168">
        <f t="shared" si="19"/>
        <v>41.723752900232022</v>
      </c>
      <c r="I112" s="182">
        <f t="shared" si="20"/>
        <v>37.858815789473681</v>
      </c>
    </row>
    <row r="113" spans="1:9" s="183" customFormat="1" ht="12" x14ac:dyDescent="0.3">
      <c r="A113" s="171"/>
      <c r="B113" s="193"/>
      <c r="C113" s="471" t="s">
        <v>327</v>
      </c>
      <c r="D113" s="180" t="s">
        <v>87</v>
      </c>
      <c r="E113" s="168">
        <f>'POSEBNI DIO'!C167</f>
        <v>177307.46</v>
      </c>
      <c r="F113" s="168">
        <f>'POSEBNI DIO'!D167</f>
        <v>163000</v>
      </c>
      <c r="G113" s="168">
        <f>'POSEBNI DIO'!E167</f>
        <v>87209.96</v>
      </c>
      <c r="H113" s="168">
        <f t="shared" si="19"/>
        <v>49.185725180429522</v>
      </c>
      <c r="I113" s="182">
        <f t="shared" si="20"/>
        <v>53.503042944785285</v>
      </c>
    </row>
    <row r="114" spans="1:9" s="183" customFormat="1" ht="12" x14ac:dyDescent="0.3">
      <c r="A114" s="171"/>
      <c r="B114" s="193"/>
      <c r="C114" s="485" t="s">
        <v>328</v>
      </c>
      <c r="D114" s="190" t="s">
        <v>102</v>
      </c>
      <c r="E114" s="168">
        <f>'POSEBNI DIO'!C365</f>
        <v>5433.75</v>
      </c>
      <c r="F114" s="168">
        <f>'POSEBNI DIO'!D365</f>
        <v>5400</v>
      </c>
      <c r="G114" s="168">
        <f>'POSEBNI DIO'!E365</f>
        <v>1936.29</v>
      </c>
      <c r="H114" s="168">
        <f t="shared" si="19"/>
        <v>35.63450655624569</v>
      </c>
      <c r="I114" s="182">
        <f t="shared" si="20"/>
        <v>35.857222222222227</v>
      </c>
    </row>
    <row r="115" spans="1:9" s="183" customFormat="1" ht="12" x14ac:dyDescent="0.3">
      <c r="A115" s="171"/>
      <c r="B115" s="193"/>
      <c r="C115" s="471" t="s">
        <v>331</v>
      </c>
      <c r="D115" s="180" t="s">
        <v>88</v>
      </c>
      <c r="E115" s="168">
        <f>'POSEBNI DIO'!C211+'POSEBNI DIO'!C307+'POSEBNI DIO'!C385</f>
        <v>2959.51</v>
      </c>
      <c r="F115" s="168">
        <f>'POSEBNI DIO'!D211+'POSEBNI DIO'!D307+'POSEBNI DIO'!D385</f>
        <v>4000</v>
      </c>
      <c r="G115" s="168">
        <f>'POSEBNI DIO'!E211+'POSEBNI DIO'!E307+'POSEBNI DIO'!E385</f>
        <v>1586.46</v>
      </c>
      <c r="H115" s="168">
        <f t="shared" si="19"/>
        <v>53.605495504323351</v>
      </c>
      <c r="I115" s="182">
        <f t="shared" si="20"/>
        <v>39.661499999999997</v>
      </c>
    </row>
    <row r="116" spans="1:9" s="27" customFormat="1" x14ac:dyDescent="0.3">
      <c r="A116" s="35"/>
      <c r="B116" s="11">
        <v>32</v>
      </c>
      <c r="C116" s="473"/>
      <c r="D116" s="11" t="s">
        <v>33</v>
      </c>
      <c r="E116" s="60">
        <f>E117+E133+E166+E203</f>
        <v>272268.87</v>
      </c>
      <c r="F116" s="60">
        <f t="shared" ref="F116:G116" si="33">F117+F133+F166+F203</f>
        <v>292779.91000000003</v>
      </c>
      <c r="G116" s="60">
        <f t="shared" si="33"/>
        <v>140585.66999999998</v>
      </c>
      <c r="H116" s="60">
        <f t="shared" si="19"/>
        <v>51.634867401477067</v>
      </c>
      <c r="I116" s="72">
        <f t="shared" si="20"/>
        <v>48.017526202532125</v>
      </c>
    </row>
    <row r="117" spans="1:9" s="27" customFormat="1" x14ac:dyDescent="0.3">
      <c r="A117" s="35"/>
      <c r="B117" s="11">
        <v>321</v>
      </c>
      <c r="C117" s="473"/>
      <c r="D117" s="11" t="s">
        <v>150</v>
      </c>
      <c r="E117" s="60">
        <f>E118+E125+E130</f>
        <v>76363.51999999999</v>
      </c>
      <c r="F117" s="60">
        <f>F118+F125+F130</f>
        <v>100553</v>
      </c>
      <c r="G117" s="60">
        <f t="shared" ref="G117" si="34">G118+G125+G130</f>
        <v>65800.25</v>
      </c>
      <c r="H117" s="60">
        <f t="shared" si="19"/>
        <v>86.167125349905305</v>
      </c>
      <c r="I117" s="72">
        <f t="shared" si="20"/>
        <v>65.438375781925956</v>
      </c>
    </row>
    <row r="118" spans="1:9" s="176" customFormat="1" ht="12" x14ac:dyDescent="0.3">
      <c r="A118" s="187"/>
      <c r="B118" s="188">
        <v>3211</v>
      </c>
      <c r="C118" s="546"/>
      <c r="D118" s="188" t="s">
        <v>124</v>
      </c>
      <c r="E118" s="167">
        <f t="shared" ref="E118" si="35">SUM(E119:E124)</f>
        <v>18226.32</v>
      </c>
      <c r="F118" s="167">
        <f t="shared" ref="F118:G118" si="36">SUM(F119:F124)</f>
        <v>26537</v>
      </c>
      <c r="G118" s="167">
        <f t="shared" si="36"/>
        <v>29948.78</v>
      </c>
      <c r="H118" s="167">
        <f t="shared" si="19"/>
        <v>164.31610988943461</v>
      </c>
      <c r="I118" s="175">
        <f t="shared" si="20"/>
        <v>112.8566906583261</v>
      </c>
    </row>
    <row r="119" spans="1:9" s="183" customFormat="1" ht="12" x14ac:dyDescent="0.3">
      <c r="A119" s="177"/>
      <c r="B119" s="178"/>
      <c r="C119" s="485" t="s">
        <v>99</v>
      </c>
      <c r="D119" s="179" t="s">
        <v>16</v>
      </c>
      <c r="E119" s="168">
        <f>'POSEBNI DIO'!C32+'POSEBNI DIO'!C353</f>
        <v>270</v>
      </c>
      <c r="F119" s="168">
        <f>'POSEBNI DIO'!D32+'POSEBNI DIO'!D353</f>
        <v>372</v>
      </c>
      <c r="G119" s="168">
        <f>'POSEBNI DIO'!E32+'POSEBNI DIO'!E353</f>
        <v>180</v>
      </c>
      <c r="H119" s="168">
        <f t="shared" si="19"/>
        <v>66.666666666666657</v>
      </c>
      <c r="I119" s="182">
        <f t="shared" si="20"/>
        <v>48.387096774193552</v>
      </c>
    </row>
    <row r="120" spans="1:9" s="183" customFormat="1" ht="12" x14ac:dyDescent="0.3">
      <c r="A120" s="177"/>
      <c r="B120" s="178"/>
      <c r="C120" s="485" t="s">
        <v>100</v>
      </c>
      <c r="D120" s="190" t="s">
        <v>101</v>
      </c>
      <c r="E120" s="168">
        <f>'POSEBNI DIO'!C94</f>
        <v>7410.22</v>
      </c>
      <c r="F120" s="168">
        <f>'POSEBNI DIO'!D94</f>
        <v>8265</v>
      </c>
      <c r="G120" s="168">
        <f>'POSEBNI DIO'!E94</f>
        <v>3304.5</v>
      </c>
      <c r="H120" s="168">
        <f t="shared" si="19"/>
        <v>44.593817727408904</v>
      </c>
      <c r="I120" s="182">
        <f t="shared" si="20"/>
        <v>39.98185117967332</v>
      </c>
    </row>
    <row r="121" spans="1:9" s="183" customFormat="1" ht="12" x14ac:dyDescent="0.3">
      <c r="A121" s="177"/>
      <c r="B121" s="178"/>
      <c r="C121" s="485" t="s">
        <v>90</v>
      </c>
      <c r="D121" s="180" t="s">
        <v>91</v>
      </c>
      <c r="E121" s="168">
        <f>'POSEBNI DIO'!C125</f>
        <v>0</v>
      </c>
      <c r="F121" s="168">
        <f>'POSEBNI DIO'!D125</f>
        <v>0</v>
      </c>
      <c r="G121" s="168">
        <f>'POSEBNI DIO'!E125</f>
        <v>0</v>
      </c>
      <c r="H121" s="168" t="e">
        <f t="shared" si="19"/>
        <v>#DIV/0!</v>
      </c>
      <c r="I121" s="182" t="e">
        <f t="shared" si="20"/>
        <v>#DIV/0!</v>
      </c>
    </row>
    <row r="122" spans="1:9" s="183" customFormat="1" ht="12" x14ac:dyDescent="0.3">
      <c r="A122" s="177"/>
      <c r="B122" s="178"/>
      <c r="C122" s="485" t="s">
        <v>327</v>
      </c>
      <c r="D122" s="180" t="s">
        <v>87</v>
      </c>
      <c r="E122" s="168">
        <f>'POSEBNI DIO'!C170+'POSEBNI DIO'!C399</f>
        <v>10546.1</v>
      </c>
      <c r="F122" s="168">
        <f>'POSEBNI DIO'!D170+'POSEBNI DIO'!D399</f>
        <v>17900</v>
      </c>
      <c r="G122" s="168">
        <f>'POSEBNI DIO'!E170+'POSEBNI DIO'!E399</f>
        <v>26464.28</v>
      </c>
      <c r="H122" s="168">
        <f t="shared" si="19"/>
        <v>250.93902011170007</v>
      </c>
      <c r="I122" s="182">
        <f t="shared" si="20"/>
        <v>147.84513966480446</v>
      </c>
    </row>
    <row r="123" spans="1:9" s="183" customFormat="1" ht="12" x14ac:dyDescent="0.3">
      <c r="A123" s="177"/>
      <c r="B123" s="178"/>
      <c r="C123" s="485" t="s">
        <v>328</v>
      </c>
      <c r="D123" s="190" t="s">
        <v>102</v>
      </c>
      <c r="E123" s="168">
        <f>'POSEBNI DIO'!C368</f>
        <v>0</v>
      </c>
      <c r="F123" s="168">
        <f>'POSEBNI DIO'!D368</f>
        <v>0</v>
      </c>
      <c r="G123" s="168">
        <f>'POSEBNI DIO'!E368</f>
        <v>0</v>
      </c>
      <c r="H123" s="168" t="e">
        <f t="shared" si="19"/>
        <v>#DIV/0!</v>
      </c>
      <c r="I123" s="182" t="e">
        <f t="shared" si="20"/>
        <v>#DIV/0!</v>
      </c>
    </row>
    <row r="124" spans="1:9" s="183" customFormat="1" ht="12" x14ac:dyDescent="0.3">
      <c r="A124" s="177"/>
      <c r="B124" s="188"/>
      <c r="C124" s="485" t="s">
        <v>95</v>
      </c>
      <c r="D124" s="180" t="s">
        <v>96</v>
      </c>
      <c r="E124" s="168">
        <f>'POSEBNI DIO'!C240</f>
        <v>0</v>
      </c>
      <c r="F124" s="168">
        <f>'POSEBNI DIO'!D240</f>
        <v>0</v>
      </c>
      <c r="G124" s="168">
        <f>'POSEBNI DIO'!E240</f>
        <v>0</v>
      </c>
      <c r="H124" s="168" t="e">
        <f t="shared" si="19"/>
        <v>#DIV/0!</v>
      </c>
      <c r="I124" s="182" t="e">
        <f t="shared" si="20"/>
        <v>#DIV/0!</v>
      </c>
    </row>
    <row r="125" spans="1:9" s="176" customFormat="1" ht="12" x14ac:dyDescent="0.3">
      <c r="A125" s="187"/>
      <c r="B125" s="188">
        <v>3212</v>
      </c>
      <c r="C125" s="546"/>
      <c r="D125" s="188" t="s">
        <v>167</v>
      </c>
      <c r="E125" s="167">
        <f>SUM(E126:E129)</f>
        <v>51171.519999999997</v>
      </c>
      <c r="F125" s="167">
        <f t="shared" ref="F125:G125" si="37">SUM(F126:F129)</f>
        <v>52600</v>
      </c>
      <c r="G125" s="167">
        <f t="shared" si="37"/>
        <v>27329.23</v>
      </c>
      <c r="H125" s="167">
        <f t="shared" si="19"/>
        <v>53.4071100487146</v>
      </c>
      <c r="I125" s="175">
        <f t="shared" si="20"/>
        <v>51.956711026615963</v>
      </c>
    </row>
    <row r="126" spans="1:9" s="183" customFormat="1" ht="12" x14ac:dyDescent="0.3">
      <c r="A126" s="177"/>
      <c r="B126" s="178"/>
      <c r="C126" s="485" t="s">
        <v>99</v>
      </c>
      <c r="D126" s="179" t="s">
        <v>16</v>
      </c>
      <c r="E126" s="168">
        <f>'POSEBNI DIO'!C285+'POSEBNI DIO'!C354</f>
        <v>2169.75</v>
      </c>
      <c r="F126" s="168">
        <f>'POSEBNI DIO'!D285+'POSEBNI DIO'!D354</f>
        <v>2940</v>
      </c>
      <c r="G126" s="168">
        <f>'POSEBNI DIO'!E285+'POSEBNI DIO'!E354</f>
        <v>1031.48</v>
      </c>
      <c r="H126" s="168">
        <f t="shared" si="19"/>
        <v>47.539117409839839</v>
      </c>
      <c r="I126" s="182">
        <f t="shared" si="20"/>
        <v>35.084353741496599</v>
      </c>
    </row>
    <row r="127" spans="1:9" s="183" customFormat="1" ht="12" x14ac:dyDescent="0.3">
      <c r="A127" s="177"/>
      <c r="B127" s="178"/>
      <c r="C127" s="485" t="s">
        <v>327</v>
      </c>
      <c r="D127" s="180" t="s">
        <v>87</v>
      </c>
      <c r="E127" s="168">
        <f>'POSEBNI DIO'!C171</f>
        <v>46365.36</v>
      </c>
      <c r="F127" s="168">
        <f>'POSEBNI DIO'!D171</f>
        <v>46000</v>
      </c>
      <c r="G127" s="168">
        <f>'POSEBNI DIO'!E171</f>
        <v>25087.22</v>
      </c>
      <c r="H127" s="168">
        <f t="shared" si="19"/>
        <v>54.107678663554005</v>
      </c>
      <c r="I127" s="182">
        <f t="shared" si="20"/>
        <v>54.537434782608699</v>
      </c>
    </row>
    <row r="128" spans="1:9" s="183" customFormat="1" ht="12" x14ac:dyDescent="0.3">
      <c r="A128" s="177"/>
      <c r="B128" s="178"/>
      <c r="C128" s="485" t="s">
        <v>328</v>
      </c>
      <c r="D128" s="190" t="s">
        <v>102</v>
      </c>
      <c r="E128" s="168">
        <f>'POSEBNI DIO'!C369</f>
        <v>1400.07</v>
      </c>
      <c r="F128" s="168">
        <f>'POSEBNI DIO'!D369</f>
        <v>2160</v>
      </c>
      <c r="G128" s="168">
        <f>'POSEBNI DIO'!E369</f>
        <v>537.29999999999995</v>
      </c>
      <c r="H128" s="168">
        <f t="shared" si="19"/>
        <v>38.376652595941628</v>
      </c>
      <c r="I128" s="182">
        <f t="shared" si="20"/>
        <v>24.874999999999996</v>
      </c>
    </row>
    <row r="129" spans="1:9" s="183" customFormat="1" ht="12" x14ac:dyDescent="0.3">
      <c r="A129" s="177"/>
      <c r="B129" s="178"/>
      <c r="C129" s="485" t="s">
        <v>331</v>
      </c>
      <c r="D129" s="180" t="s">
        <v>88</v>
      </c>
      <c r="E129" s="168">
        <f>'POSEBNI DIO'!C310+'POSEBNI DIO'!C388</f>
        <v>1236.3399999999999</v>
      </c>
      <c r="F129" s="168">
        <f>'POSEBNI DIO'!D310+'POSEBNI DIO'!D388</f>
        <v>1500</v>
      </c>
      <c r="G129" s="168">
        <f>'POSEBNI DIO'!E310+'POSEBNI DIO'!E388</f>
        <v>673.23</v>
      </c>
      <c r="H129" s="168">
        <f t="shared" si="19"/>
        <v>54.4534674927609</v>
      </c>
      <c r="I129" s="182">
        <f t="shared" si="20"/>
        <v>44.881999999999998</v>
      </c>
    </row>
    <row r="130" spans="1:9" s="176" customFormat="1" ht="12" x14ac:dyDescent="0.3">
      <c r="A130" s="187"/>
      <c r="B130" s="188">
        <v>3213</v>
      </c>
      <c r="C130" s="546"/>
      <c r="D130" s="188" t="s">
        <v>125</v>
      </c>
      <c r="E130" s="167">
        <f>SUM(E131:E132)</f>
        <v>6965.68</v>
      </c>
      <c r="F130" s="167">
        <f t="shared" ref="F130:G130" si="38">SUM(F131:F132)</f>
        <v>21416</v>
      </c>
      <c r="G130" s="167">
        <f t="shared" si="38"/>
        <v>8522.24</v>
      </c>
      <c r="H130" s="167">
        <f t="shared" si="19"/>
        <v>122.34613131811969</v>
      </c>
      <c r="I130" s="175">
        <f t="shared" si="20"/>
        <v>39.793799028763537</v>
      </c>
    </row>
    <row r="131" spans="1:9" s="183" customFormat="1" ht="12" x14ac:dyDescent="0.3">
      <c r="A131" s="177"/>
      <c r="B131" s="178"/>
      <c r="C131" s="485" t="s">
        <v>100</v>
      </c>
      <c r="D131" s="190" t="s">
        <v>101</v>
      </c>
      <c r="E131" s="168">
        <f>'POSEBNI DIO'!C95</f>
        <v>1568.42</v>
      </c>
      <c r="F131" s="168">
        <f>'POSEBNI DIO'!D95</f>
        <v>1416</v>
      </c>
      <c r="G131" s="168">
        <f>'POSEBNI DIO'!E95</f>
        <v>383</v>
      </c>
      <c r="H131" s="168">
        <f t="shared" si="19"/>
        <v>24.419479476160721</v>
      </c>
      <c r="I131" s="182">
        <f t="shared" si="20"/>
        <v>27.048022598870059</v>
      </c>
    </row>
    <row r="132" spans="1:9" s="183" customFormat="1" ht="12" x14ac:dyDescent="0.3">
      <c r="A132" s="177"/>
      <c r="B132" s="178"/>
      <c r="C132" s="485" t="s">
        <v>327</v>
      </c>
      <c r="D132" s="180" t="s">
        <v>87</v>
      </c>
      <c r="E132" s="168">
        <f>'POSEBNI DIO'!C172+'POSEBNI DIO'!C400</f>
        <v>5397.26</v>
      </c>
      <c r="F132" s="168">
        <f>'POSEBNI DIO'!D172+'POSEBNI DIO'!D400</f>
        <v>20000</v>
      </c>
      <c r="G132" s="168">
        <f>'POSEBNI DIO'!E172+'POSEBNI DIO'!E400</f>
        <v>8139.24</v>
      </c>
      <c r="H132" s="168">
        <f t="shared" ref="H132" si="39">G132/E132*100</f>
        <v>150.80318531995863</v>
      </c>
      <c r="I132" s="182">
        <f t="shared" ref="I132" si="40">G132/F132*100</f>
        <v>40.696199999999997</v>
      </c>
    </row>
    <row r="133" spans="1:9" s="27" customFormat="1" x14ac:dyDescent="0.3">
      <c r="A133" s="35"/>
      <c r="B133" s="11">
        <v>322</v>
      </c>
      <c r="C133" s="473"/>
      <c r="D133" s="11" t="s">
        <v>151</v>
      </c>
      <c r="E133" s="60">
        <f>E134+E142+E148+E152+E157+E164</f>
        <v>113382.64</v>
      </c>
      <c r="F133" s="60">
        <f t="shared" ref="F133:G133" si="41">F134+F142+F148+F152+F157+F164</f>
        <v>97061.91</v>
      </c>
      <c r="G133" s="60">
        <f t="shared" si="41"/>
        <v>45498.67</v>
      </c>
      <c r="H133" s="60">
        <f t="shared" si="19"/>
        <v>40.128427067847419</v>
      </c>
      <c r="I133" s="72">
        <f t="shared" si="20"/>
        <v>46.875926921281476</v>
      </c>
    </row>
    <row r="134" spans="1:9" s="176" customFormat="1" ht="12" x14ac:dyDescent="0.3">
      <c r="A134" s="187"/>
      <c r="B134" s="188">
        <v>3221</v>
      </c>
      <c r="C134" s="546"/>
      <c r="D134" s="188" t="s">
        <v>126</v>
      </c>
      <c r="E134" s="167">
        <f>SUM(E135:E141)</f>
        <v>19042.28</v>
      </c>
      <c r="F134" s="167">
        <f t="shared" ref="F134:G134" si="42">SUM(F135:F141)</f>
        <v>13408</v>
      </c>
      <c r="G134" s="167">
        <f t="shared" si="42"/>
        <v>5043.63</v>
      </c>
      <c r="H134" s="167">
        <f t="shared" si="19"/>
        <v>26.486481660809524</v>
      </c>
      <c r="I134" s="175">
        <f t="shared" si="20"/>
        <v>37.616572195704059</v>
      </c>
    </row>
    <row r="135" spans="1:9" s="183" customFormat="1" ht="12" x14ac:dyDescent="0.3">
      <c r="A135" s="177"/>
      <c r="B135" s="178"/>
      <c r="C135" s="485" t="s">
        <v>99</v>
      </c>
      <c r="D135" s="179" t="s">
        <v>16</v>
      </c>
      <c r="E135" s="168">
        <f>'POSEBNI DIO'!C34+'POSEBNI DIO'!C83</f>
        <v>0</v>
      </c>
      <c r="F135" s="168">
        <f>'POSEBNI DIO'!D34+'POSEBNI DIO'!D83</f>
        <v>0</v>
      </c>
      <c r="G135" s="168">
        <f>'POSEBNI DIO'!E34+'POSEBNI DIO'!E83</f>
        <v>0</v>
      </c>
      <c r="H135" s="168" t="e">
        <f t="shared" si="19"/>
        <v>#DIV/0!</v>
      </c>
      <c r="I135" s="182" t="e">
        <f t="shared" si="20"/>
        <v>#DIV/0!</v>
      </c>
    </row>
    <row r="136" spans="1:9" s="183" customFormat="1" ht="12" x14ac:dyDescent="0.3">
      <c r="A136" s="177"/>
      <c r="B136" s="178"/>
      <c r="C136" s="485" t="s">
        <v>100</v>
      </c>
      <c r="D136" s="190" t="s">
        <v>101</v>
      </c>
      <c r="E136" s="168">
        <f>'POSEBNI DIO'!C97</f>
        <v>9292.2999999999993</v>
      </c>
      <c r="F136" s="168">
        <f>'POSEBNI DIO'!D97</f>
        <v>8608</v>
      </c>
      <c r="G136" s="168">
        <f>'POSEBNI DIO'!E97</f>
        <v>3794.75</v>
      </c>
      <c r="H136" s="168">
        <f t="shared" si="19"/>
        <v>40.837575196668212</v>
      </c>
      <c r="I136" s="182">
        <f t="shared" si="20"/>
        <v>44.083991635687731</v>
      </c>
    </row>
    <row r="137" spans="1:9" s="183" customFormat="1" ht="12" x14ac:dyDescent="0.3">
      <c r="A137" s="177"/>
      <c r="B137" s="178"/>
      <c r="C137" s="485" t="s">
        <v>90</v>
      </c>
      <c r="D137" s="180" t="s">
        <v>91</v>
      </c>
      <c r="E137" s="168">
        <f>'POSEBNI DIO'!C127</f>
        <v>1384.24</v>
      </c>
      <c r="F137" s="168">
        <f>'POSEBNI DIO'!D127</f>
        <v>3000</v>
      </c>
      <c r="G137" s="168">
        <f>'POSEBNI DIO'!E127</f>
        <v>1165.44</v>
      </c>
      <c r="H137" s="168">
        <f t="shared" si="19"/>
        <v>84.193492457955273</v>
      </c>
      <c r="I137" s="182">
        <f t="shared" si="20"/>
        <v>38.847999999999999</v>
      </c>
    </row>
    <row r="138" spans="1:9" s="183" customFormat="1" ht="12" x14ac:dyDescent="0.3">
      <c r="A138" s="177"/>
      <c r="B138" s="178"/>
      <c r="C138" s="485" t="s">
        <v>316</v>
      </c>
      <c r="D138" s="180" t="s">
        <v>93</v>
      </c>
      <c r="E138" s="168">
        <f>'POSEBNI DIO'!C290</f>
        <v>333.22</v>
      </c>
      <c r="F138" s="168">
        <f>'POSEBNI DIO'!D290</f>
        <v>500</v>
      </c>
      <c r="G138" s="168">
        <f>'POSEBNI DIO'!E290</f>
        <v>0</v>
      </c>
      <c r="H138" s="168">
        <f t="shared" ref="H138:H139" si="43">G138/E138*100</f>
        <v>0</v>
      </c>
      <c r="I138" s="182">
        <f t="shared" ref="I138:I139" si="44">G138/F138*100</f>
        <v>0</v>
      </c>
    </row>
    <row r="139" spans="1:9" s="183" customFormat="1" ht="12" x14ac:dyDescent="0.3">
      <c r="A139" s="177"/>
      <c r="B139" s="178"/>
      <c r="C139" s="485" t="s">
        <v>327</v>
      </c>
      <c r="D139" s="180" t="s">
        <v>87</v>
      </c>
      <c r="E139" s="168">
        <f>'POSEBNI DIO'!C174+'POSEBNI DIO'!C402</f>
        <v>7126.05</v>
      </c>
      <c r="F139" s="168">
        <f>'POSEBNI DIO'!D174+'POSEBNI DIO'!D402</f>
        <v>1000</v>
      </c>
      <c r="G139" s="168">
        <f>'POSEBNI DIO'!E174+'POSEBNI DIO'!E402</f>
        <v>83.44</v>
      </c>
      <c r="H139" s="168">
        <f t="shared" si="43"/>
        <v>1.1709151633794317</v>
      </c>
      <c r="I139" s="182">
        <f t="shared" si="44"/>
        <v>8.3439999999999994</v>
      </c>
    </row>
    <row r="140" spans="1:9" s="183" customFormat="1" ht="12" x14ac:dyDescent="0.3">
      <c r="A140" s="177"/>
      <c r="B140" s="178"/>
      <c r="C140" s="485" t="s">
        <v>331</v>
      </c>
      <c r="D140" s="180" t="s">
        <v>88</v>
      </c>
      <c r="E140" s="168">
        <f>'POSEBNI DIO'!C67+'POSEBNI DIO'!C214</f>
        <v>0</v>
      </c>
      <c r="F140" s="168">
        <f>'POSEBNI DIO'!D67+'POSEBNI DIO'!D214</f>
        <v>0</v>
      </c>
      <c r="G140" s="168">
        <f>'POSEBNI DIO'!E67+'POSEBNI DIO'!E214</f>
        <v>0</v>
      </c>
      <c r="H140" s="168" t="e">
        <f t="shared" si="19"/>
        <v>#DIV/0!</v>
      </c>
      <c r="I140" s="182" t="e">
        <f t="shared" si="20"/>
        <v>#DIV/0!</v>
      </c>
    </row>
    <row r="141" spans="1:9" s="183" customFormat="1" ht="12" x14ac:dyDescent="0.3">
      <c r="A141" s="177"/>
      <c r="B141" s="188"/>
      <c r="C141" s="485" t="s">
        <v>95</v>
      </c>
      <c r="D141" s="180" t="s">
        <v>96</v>
      </c>
      <c r="E141" s="168">
        <f>'POSEBNI DIO'!C242</f>
        <v>906.47</v>
      </c>
      <c r="F141" s="168">
        <f>'POSEBNI DIO'!D242</f>
        <v>300</v>
      </c>
      <c r="G141" s="168">
        <f>'POSEBNI DIO'!E242</f>
        <v>0</v>
      </c>
      <c r="H141" s="168">
        <f t="shared" si="19"/>
        <v>0</v>
      </c>
      <c r="I141" s="182">
        <f t="shared" si="20"/>
        <v>0</v>
      </c>
    </row>
    <row r="142" spans="1:9" s="176" customFormat="1" ht="12" x14ac:dyDescent="0.3">
      <c r="A142" s="187"/>
      <c r="B142" s="188">
        <v>3222</v>
      </c>
      <c r="C142" s="546"/>
      <c r="D142" s="188" t="s">
        <v>154</v>
      </c>
      <c r="E142" s="167">
        <f>SUM(E143:E147)</f>
        <v>52240.649999999994</v>
      </c>
      <c r="F142" s="167">
        <f t="shared" ref="F142:G142" si="45">SUM(F143:F147)</f>
        <v>51000</v>
      </c>
      <c r="G142" s="167">
        <f t="shared" si="45"/>
        <v>21596.84</v>
      </c>
      <c r="H142" s="167">
        <f t="shared" si="19"/>
        <v>41.341062946192295</v>
      </c>
      <c r="I142" s="175">
        <f t="shared" si="20"/>
        <v>42.346745098039221</v>
      </c>
    </row>
    <row r="143" spans="1:9" s="183" customFormat="1" ht="12" x14ac:dyDescent="0.3">
      <c r="A143" s="177"/>
      <c r="B143" s="178"/>
      <c r="C143" s="485" t="s">
        <v>316</v>
      </c>
      <c r="D143" s="180" t="s">
        <v>93</v>
      </c>
      <c r="E143" s="168">
        <f>'POSEBNI DIO'!C291</f>
        <v>6778.17</v>
      </c>
      <c r="F143" s="168">
        <f>'POSEBNI DIO'!D291</f>
        <v>7000</v>
      </c>
      <c r="G143" s="168">
        <f>'POSEBNI DIO'!E291</f>
        <v>2754.63</v>
      </c>
      <c r="H143" s="167">
        <f t="shared" ref="H143" si="46">G143/E143*100</f>
        <v>40.639730192662618</v>
      </c>
      <c r="I143" s="175">
        <f t="shared" ref="I143" si="47">G143/F143*100</f>
        <v>39.351857142857142</v>
      </c>
    </row>
    <row r="144" spans="1:9" s="183" customFormat="1" ht="12" x14ac:dyDescent="0.3">
      <c r="A144" s="177"/>
      <c r="B144" s="178"/>
      <c r="C144" s="485" t="s">
        <v>327</v>
      </c>
      <c r="D144" s="180" t="s">
        <v>87</v>
      </c>
      <c r="E144" s="168">
        <f>'POSEBNI DIO'!C53</f>
        <v>42993.279999999999</v>
      </c>
      <c r="F144" s="168">
        <f>'POSEBNI DIO'!D53</f>
        <v>40000</v>
      </c>
      <c r="G144" s="168">
        <f>'POSEBNI DIO'!E53</f>
        <v>18056.8</v>
      </c>
      <c r="H144" s="168">
        <f t="shared" si="19"/>
        <v>41.999121723208837</v>
      </c>
      <c r="I144" s="182">
        <f t="shared" si="20"/>
        <v>45.141999999999996</v>
      </c>
    </row>
    <row r="145" spans="1:9" s="183" customFormat="1" ht="12" x14ac:dyDescent="0.3">
      <c r="A145" s="177"/>
      <c r="B145" s="178"/>
      <c r="C145" s="485" t="s">
        <v>330</v>
      </c>
      <c r="D145" s="190" t="s">
        <v>103</v>
      </c>
      <c r="E145" s="168">
        <f>'POSEBNI DIO'!C62</f>
        <v>2469.1999999999998</v>
      </c>
      <c r="F145" s="168">
        <f>'POSEBNI DIO'!D62</f>
        <v>4000</v>
      </c>
      <c r="G145" s="168">
        <f>'POSEBNI DIO'!E62</f>
        <v>785.41</v>
      </c>
      <c r="H145" s="168">
        <f t="shared" si="19"/>
        <v>31.808277984772399</v>
      </c>
      <c r="I145" s="182">
        <f t="shared" si="20"/>
        <v>19.635249999999999</v>
      </c>
    </row>
    <row r="146" spans="1:9" s="183" customFormat="1" ht="12" x14ac:dyDescent="0.3">
      <c r="A146" s="177"/>
      <c r="B146" s="178"/>
      <c r="C146" s="485" t="s">
        <v>331</v>
      </c>
      <c r="D146" s="180" t="s">
        <v>88</v>
      </c>
      <c r="E146" s="168">
        <f>'POSEBNI DIO'!C68</f>
        <v>0</v>
      </c>
      <c r="F146" s="168">
        <f>'POSEBNI DIO'!D68</f>
        <v>0</v>
      </c>
      <c r="G146" s="168">
        <f>'POSEBNI DIO'!E68</f>
        <v>0</v>
      </c>
      <c r="H146" s="168" t="e">
        <f t="shared" si="19"/>
        <v>#DIV/0!</v>
      </c>
      <c r="I146" s="182" t="e">
        <f t="shared" si="20"/>
        <v>#DIV/0!</v>
      </c>
    </row>
    <row r="147" spans="1:9" s="183" customFormat="1" ht="12" x14ac:dyDescent="0.3">
      <c r="A147" s="177"/>
      <c r="B147" s="188"/>
      <c r="C147" s="485" t="s">
        <v>95</v>
      </c>
      <c r="D147" s="180" t="s">
        <v>96</v>
      </c>
      <c r="E147" s="168">
        <f>'POSEBNI DIO'!C243</f>
        <v>0</v>
      </c>
      <c r="F147" s="168">
        <f>'POSEBNI DIO'!D243</f>
        <v>0</v>
      </c>
      <c r="G147" s="168">
        <f>'POSEBNI DIO'!E243</f>
        <v>0</v>
      </c>
      <c r="H147" s="168" t="e">
        <f t="shared" ref="H147" si="48">G147/E147*100</f>
        <v>#DIV/0!</v>
      </c>
      <c r="I147" s="182" t="e">
        <f t="shared" ref="I147" si="49">G147/F147*100</f>
        <v>#DIV/0!</v>
      </c>
    </row>
    <row r="148" spans="1:9" s="176" customFormat="1" ht="12" x14ac:dyDescent="0.3">
      <c r="A148" s="187"/>
      <c r="B148" s="188">
        <v>3223</v>
      </c>
      <c r="C148" s="546"/>
      <c r="D148" s="188" t="s">
        <v>122</v>
      </c>
      <c r="E148" s="167">
        <f>E149+E150+E151</f>
        <v>28145.439999999999</v>
      </c>
      <c r="F148" s="167">
        <f t="shared" ref="F148:G148" si="50">SUM(F149+F150)</f>
        <v>20047.91</v>
      </c>
      <c r="G148" s="167">
        <f t="shared" si="50"/>
        <v>15624.31</v>
      </c>
      <c r="H148" s="167">
        <f t="shared" si="19"/>
        <v>55.512758016929212</v>
      </c>
      <c r="I148" s="175">
        <f t="shared" si="20"/>
        <v>77.93485704993688</v>
      </c>
    </row>
    <row r="149" spans="1:9" s="183" customFormat="1" ht="12" x14ac:dyDescent="0.3">
      <c r="A149" s="177"/>
      <c r="B149" s="178"/>
      <c r="C149" s="485" t="s">
        <v>99</v>
      </c>
      <c r="D149" s="179" t="s">
        <v>16</v>
      </c>
      <c r="E149" s="168">
        <f>'POSEBNI DIO'!C84</f>
        <v>10726.07</v>
      </c>
      <c r="F149" s="168">
        <f>'POSEBNI DIO'!D84</f>
        <v>0</v>
      </c>
      <c r="G149" s="168">
        <f>'POSEBNI DIO'!E84</f>
        <v>0</v>
      </c>
      <c r="H149" s="168">
        <f t="shared" ref="H149" si="51">G149/E149*100</f>
        <v>0</v>
      </c>
      <c r="I149" s="182" t="e">
        <f t="shared" ref="I149" si="52">G149/F149*100</f>
        <v>#DIV/0!</v>
      </c>
    </row>
    <row r="150" spans="1:9" s="183" customFormat="1" ht="12" x14ac:dyDescent="0.3">
      <c r="A150" s="177"/>
      <c r="B150" s="178"/>
      <c r="C150" s="485" t="s">
        <v>100</v>
      </c>
      <c r="D150" s="190" t="s">
        <v>101</v>
      </c>
      <c r="E150" s="168">
        <f>'POSEBNI DIO'!C98</f>
        <v>16035.13</v>
      </c>
      <c r="F150" s="168">
        <f>'POSEBNI DIO'!D98</f>
        <v>20047.91</v>
      </c>
      <c r="G150" s="168">
        <f>'POSEBNI DIO'!E98</f>
        <v>15624.31</v>
      </c>
      <c r="H150" s="168">
        <f t="shared" si="19"/>
        <v>97.438000190831005</v>
      </c>
      <c r="I150" s="182">
        <f t="shared" si="20"/>
        <v>77.93485704993688</v>
      </c>
    </row>
    <row r="151" spans="1:9" s="183" customFormat="1" ht="12" x14ac:dyDescent="0.3">
      <c r="A151" s="177"/>
      <c r="B151" s="178"/>
      <c r="C151" s="485" t="s">
        <v>90</v>
      </c>
      <c r="D151" s="180" t="s">
        <v>91</v>
      </c>
      <c r="E151" s="168">
        <f>'POSEBNI DIO'!C127</f>
        <v>1384.24</v>
      </c>
      <c r="F151" s="168"/>
      <c r="G151" s="168"/>
      <c r="H151" s="168"/>
      <c r="I151" s="182"/>
    </row>
    <row r="152" spans="1:9" s="176" customFormat="1" ht="12" x14ac:dyDescent="0.3">
      <c r="A152" s="187"/>
      <c r="B152" s="188">
        <v>3224</v>
      </c>
      <c r="C152" s="546"/>
      <c r="D152" s="188" t="s">
        <v>120</v>
      </c>
      <c r="E152" s="167">
        <f>E153+E154+E155+E156</f>
        <v>2202.3300000000004</v>
      </c>
      <c r="F152" s="167">
        <f t="shared" ref="F152:G152" si="53">SUM(F153:F156)</f>
        <v>3592</v>
      </c>
      <c r="G152" s="167">
        <f t="shared" si="53"/>
        <v>1145.18</v>
      </c>
      <c r="H152" s="167">
        <f t="shared" si="19"/>
        <v>51.998565155993873</v>
      </c>
      <c r="I152" s="175">
        <f t="shared" si="20"/>
        <v>31.88140311804009</v>
      </c>
    </row>
    <row r="153" spans="1:9" s="183" customFormat="1" ht="12" x14ac:dyDescent="0.3">
      <c r="A153" s="177"/>
      <c r="B153" s="178"/>
      <c r="C153" s="485" t="s">
        <v>100</v>
      </c>
      <c r="D153" s="190" t="s">
        <v>101</v>
      </c>
      <c r="E153" s="168">
        <f>'POSEBNI DIO'!C99</f>
        <v>2058.0100000000002</v>
      </c>
      <c r="F153" s="168">
        <f>'POSEBNI DIO'!D99</f>
        <v>3492</v>
      </c>
      <c r="G153" s="168">
        <f>'POSEBNI DIO'!E99</f>
        <v>1145.18</v>
      </c>
      <c r="H153" s="168">
        <f t="shared" si="19"/>
        <v>55.645016302155959</v>
      </c>
      <c r="I153" s="182">
        <f t="shared" si="20"/>
        <v>32.794387170675833</v>
      </c>
    </row>
    <row r="154" spans="1:9" s="183" customFormat="1" ht="12" x14ac:dyDescent="0.3">
      <c r="A154" s="177"/>
      <c r="B154" s="178"/>
      <c r="C154" s="485" t="s">
        <v>90</v>
      </c>
      <c r="D154" s="180" t="s">
        <v>91</v>
      </c>
      <c r="E154" s="168">
        <f>'POSEBNI DIO'!C128</f>
        <v>0</v>
      </c>
      <c r="F154" s="168">
        <f>'POSEBNI DIO'!D128</f>
        <v>0</v>
      </c>
      <c r="G154" s="168">
        <f>'POSEBNI DIO'!E128</f>
        <v>0</v>
      </c>
      <c r="H154" s="168" t="e">
        <f t="shared" si="19"/>
        <v>#DIV/0!</v>
      </c>
      <c r="I154" s="182" t="e">
        <f t="shared" si="20"/>
        <v>#DIV/0!</v>
      </c>
    </row>
    <row r="155" spans="1:9" s="183" customFormat="1" ht="12" x14ac:dyDescent="0.3">
      <c r="A155" s="177"/>
      <c r="B155" s="178"/>
      <c r="C155" s="485" t="s">
        <v>331</v>
      </c>
      <c r="D155" s="180" t="s">
        <v>88</v>
      </c>
      <c r="E155" s="168">
        <f>'POSEBNI DIO'!C69+'POSEBNI DIO'!C215</f>
        <v>0</v>
      </c>
      <c r="F155" s="168">
        <f>'POSEBNI DIO'!D69+'POSEBNI DIO'!D215</f>
        <v>0</v>
      </c>
      <c r="G155" s="168">
        <f>'POSEBNI DIO'!E69+'POSEBNI DIO'!E215</f>
        <v>0</v>
      </c>
      <c r="H155" s="168" t="e">
        <f t="shared" si="19"/>
        <v>#DIV/0!</v>
      </c>
      <c r="I155" s="182" t="e">
        <f t="shared" si="20"/>
        <v>#DIV/0!</v>
      </c>
    </row>
    <row r="156" spans="1:9" s="183" customFormat="1" ht="12" x14ac:dyDescent="0.3">
      <c r="A156" s="177"/>
      <c r="B156" s="178"/>
      <c r="C156" s="485" t="s">
        <v>95</v>
      </c>
      <c r="D156" s="180" t="s">
        <v>96</v>
      </c>
      <c r="E156" s="168">
        <f>'POSEBNI DIO'!C244</f>
        <v>144.32</v>
      </c>
      <c r="F156" s="168">
        <f>'POSEBNI DIO'!D244</f>
        <v>100</v>
      </c>
      <c r="G156" s="168">
        <f>'POSEBNI DIO'!E244</f>
        <v>0</v>
      </c>
      <c r="H156" s="168">
        <f t="shared" ref="H156" si="54">G156/E156*100</f>
        <v>0</v>
      </c>
      <c r="I156" s="182">
        <f t="shared" ref="I156" si="55">G156/F156*100</f>
        <v>0</v>
      </c>
    </row>
    <row r="157" spans="1:9" s="176" customFormat="1" ht="12" x14ac:dyDescent="0.3">
      <c r="A157" s="187"/>
      <c r="B157" s="188">
        <v>3225</v>
      </c>
      <c r="C157" s="546"/>
      <c r="D157" s="188" t="s">
        <v>127</v>
      </c>
      <c r="E157" s="167">
        <f>SUM(E158:E163)</f>
        <v>11045.960000000001</v>
      </c>
      <c r="F157" s="167">
        <f t="shared" ref="F157:G157" si="56">SUM(F158:F163)</f>
        <v>7954</v>
      </c>
      <c r="G157" s="167">
        <f t="shared" si="56"/>
        <v>1543.6799999999998</v>
      </c>
      <c r="H157" s="167">
        <f t="shared" si="19"/>
        <v>13.975064186363156</v>
      </c>
      <c r="I157" s="175">
        <f t="shared" si="20"/>
        <v>19.4075936635655</v>
      </c>
    </row>
    <row r="158" spans="1:9" s="183" customFormat="1" ht="12" x14ac:dyDescent="0.3">
      <c r="A158" s="177"/>
      <c r="B158" s="178"/>
      <c r="C158" s="485" t="s">
        <v>100</v>
      </c>
      <c r="D158" s="190" t="s">
        <v>101</v>
      </c>
      <c r="E158" s="168">
        <f>'POSEBNI DIO'!C100</f>
        <v>1900.47</v>
      </c>
      <c r="F158" s="168">
        <f>'POSEBNI DIO'!D100</f>
        <v>2154</v>
      </c>
      <c r="G158" s="168">
        <f>'POSEBNI DIO'!E100</f>
        <v>413.9</v>
      </c>
      <c r="H158" s="168">
        <f t="shared" si="19"/>
        <v>21.778823133224936</v>
      </c>
      <c r="I158" s="182">
        <f t="shared" si="20"/>
        <v>19.215413184772515</v>
      </c>
    </row>
    <row r="159" spans="1:9" s="183" customFormat="1" ht="12" x14ac:dyDescent="0.3">
      <c r="A159" s="177"/>
      <c r="B159" s="178"/>
      <c r="C159" s="485" t="s">
        <v>90</v>
      </c>
      <c r="D159" s="180" t="s">
        <v>91</v>
      </c>
      <c r="E159" s="168">
        <f>'POSEBNI DIO'!C129</f>
        <v>0</v>
      </c>
      <c r="F159" s="168">
        <f>'POSEBNI DIO'!D129</f>
        <v>200</v>
      </c>
      <c r="G159" s="168">
        <f>'POSEBNI DIO'!E129</f>
        <v>0</v>
      </c>
      <c r="H159" s="168" t="e">
        <f t="shared" si="19"/>
        <v>#DIV/0!</v>
      </c>
      <c r="I159" s="182">
        <f t="shared" si="20"/>
        <v>0</v>
      </c>
    </row>
    <row r="160" spans="1:9" s="183" customFormat="1" ht="12" x14ac:dyDescent="0.3">
      <c r="A160" s="177"/>
      <c r="B160" s="178"/>
      <c r="C160" s="485" t="s">
        <v>86</v>
      </c>
      <c r="D160" s="180" t="s">
        <v>93</v>
      </c>
      <c r="E160" s="168">
        <f>'POSEBNI DIO'!C292</f>
        <v>0</v>
      </c>
      <c r="F160" s="168">
        <f>'POSEBNI DIO'!D292</f>
        <v>500</v>
      </c>
      <c r="G160" s="168">
        <f>'POSEBNI DIO'!E292</f>
        <v>0</v>
      </c>
      <c r="H160" s="168" t="e">
        <f t="shared" ref="H160:H161" si="57">G160/E160*100</f>
        <v>#DIV/0!</v>
      </c>
      <c r="I160" s="182">
        <f t="shared" ref="I160:I161" si="58">G160/F160*100</f>
        <v>0</v>
      </c>
    </row>
    <row r="161" spans="1:9" s="183" customFormat="1" ht="12" x14ac:dyDescent="0.3">
      <c r="A161" s="177"/>
      <c r="B161" s="178"/>
      <c r="C161" s="485" t="s">
        <v>327</v>
      </c>
      <c r="D161" s="180" t="s">
        <v>87</v>
      </c>
      <c r="E161" s="168">
        <f>'POSEBNI DIO'!C175+'POSEBNI DIO'!C403</f>
        <v>7964.3</v>
      </c>
      <c r="F161" s="168">
        <f>'POSEBNI DIO'!D175+'POSEBNI DIO'!D403</f>
        <v>5000</v>
      </c>
      <c r="G161" s="168">
        <f>'POSEBNI DIO'!E175+'POSEBNI DIO'!E403</f>
        <v>1129.78</v>
      </c>
      <c r="H161" s="168">
        <f t="shared" si="57"/>
        <v>14.185553030398152</v>
      </c>
      <c r="I161" s="182">
        <f t="shared" si="58"/>
        <v>22.595599999999997</v>
      </c>
    </row>
    <row r="162" spans="1:9" s="183" customFormat="1" ht="12" x14ac:dyDescent="0.3">
      <c r="A162" s="177"/>
      <c r="B162" s="178"/>
      <c r="C162" s="485" t="s">
        <v>331</v>
      </c>
      <c r="D162" s="180" t="s">
        <v>88</v>
      </c>
      <c r="E162" s="168">
        <f>'POSEBNI DIO'!C70+'POSEBNI DIO'!C216</f>
        <v>0</v>
      </c>
      <c r="F162" s="168">
        <f>'POSEBNI DIO'!D70+'POSEBNI DIO'!D216</f>
        <v>0</v>
      </c>
      <c r="G162" s="168">
        <f>'POSEBNI DIO'!E70+'POSEBNI DIO'!E216</f>
        <v>0</v>
      </c>
      <c r="H162" s="168" t="e">
        <f t="shared" si="19"/>
        <v>#DIV/0!</v>
      </c>
      <c r="I162" s="182" t="e">
        <f t="shared" si="20"/>
        <v>#DIV/0!</v>
      </c>
    </row>
    <row r="163" spans="1:9" s="183" customFormat="1" ht="12" x14ac:dyDescent="0.3">
      <c r="A163" s="177"/>
      <c r="B163" s="188"/>
      <c r="C163" s="485" t="s">
        <v>95</v>
      </c>
      <c r="D163" s="180" t="s">
        <v>96</v>
      </c>
      <c r="E163" s="168">
        <f>'POSEBNI DIO'!C245</f>
        <v>1181.19</v>
      </c>
      <c r="F163" s="168">
        <f>'POSEBNI DIO'!D245</f>
        <v>100</v>
      </c>
      <c r="G163" s="168">
        <f>'POSEBNI DIO'!E245</f>
        <v>0</v>
      </c>
      <c r="H163" s="168">
        <f t="shared" si="19"/>
        <v>0</v>
      </c>
      <c r="I163" s="182">
        <f t="shared" si="20"/>
        <v>0</v>
      </c>
    </row>
    <row r="164" spans="1:9" s="176" customFormat="1" ht="12" x14ac:dyDescent="0.3">
      <c r="A164" s="187"/>
      <c r="B164" s="188">
        <v>3227</v>
      </c>
      <c r="C164" s="546"/>
      <c r="D164" s="188" t="s">
        <v>128</v>
      </c>
      <c r="E164" s="167">
        <f t="shared" ref="E164:G164" si="59">SUM(E165:E165)</f>
        <v>705.98</v>
      </c>
      <c r="F164" s="167">
        <f t="shared" si="59"/>
        <v>1060</v>
      </c>
      <c r="G164" s="167">
        <f t="shared" si="59"/>
        <v>545.03</v>
      </c>
      <c r="H164" s="167">
        <f t="shared" si="19"/>
        <v>77.201903736649754</v>
      </c>
      <c r="I164" s="175">
        <f t="shared" si="20"/>
        <v>51.417924528301882</v>
      </c>
    </row>
    <row r="165" spans="1:9" s="183" customFormat="1" ht="12" x14ac:dyDescent="0.3">
      <c r="A165" s="177"/>
      <c r="B165" s="178"/>
      <c r="C165" s="485" t="s">
        <v>100</v>
      </c>
      <c r="D165" s="190" t="s">
        <v>101</v>
      </c>
      <c r="E165" s="168">
        <f>'POSEBNI DIO'!C101</f>
        <v>705.98</v>
      </c>
      <c r="F165" s="168">
        <f>'POSEBNI DIO'!D101</f>
        <v>1060</v>
      </c>
      <c r="G165" s="168">
        <f>'POSEBNI DIO'!E101</f>
        <v>545.03</v>
      </c>
      <c r="H165" s="168">
        <f t="shared" si="19"/>
        <v>77.201903736649754</v>
      </c>
      <c r="I165" s="182">
        <f t="shared" si="20"/>
        <v>51.417924528301882</v>
      </c>
    </row>
    <row r="166" spans="1:9" s="27" customFormat="1" x14ac:dyDescent="0.3">
      <c r="A166" s="35"/>
      <c r="B166" s="11">
        <v>323</v>
      </c>
      <c r="C166" s="473"/>
      <c r="D166" s="11" t="s">
        <v>152</v>
      </c>
      <c r="E166" s="60">
        <f>E167+E173+E178+E181+E184+E189+E196+E199</f>
        <v>48280.009999999995</v>
      </c>
      <c r="F166" s="60">
        <f t="shared" ref="F166:G166" si="60">F167+F173+F178+F181+F184+F189+F196+F199</f>
        <v>53740</v>
      </c>
      <c r="G166" s="60">
        <f t="shared" si="60"/>
        <v>18222.37</v>
      </c>
      <c r="H166" s="60">
        <f t="shared" si="19"/>
        <v>37.743094916508923</v>
      </c>
      <c r="I166" s="72">
        <f t="shared" si="20"/>
        <v>33.908392259024936</v>
      </c>
    </row>
    <row r="167" spans="1:9" s="176" customFormat="1" ht="12" x14ac:dyDescent="0.3">
      <c r="A167" s="187"/>
      <c r="B167" s="188">
        <v>3231</v>
      </c>
      <c r="C167" s="546"/>
      <c r="D167" s="188" t="s">
        <v>129</v>
      </c>
      <c r="E167" s="167">
        <f t="shared" ref="E167" si="61">SUM(E168:E171)</f>
        <v>9966.17</v>
      </c>
      <c r="F167" s="167">
        <f t="shared" ref="F167:G167" si="62">SUM(F168:F171)</f>
        <v>11527</v>
      </c>
      <c r="G167" s="167">
        <f t="shared" si="62"/>
        <v>3209.45</v>
      </c>
      <c r="H167" s="167">
        <f t="shared" si="19"/>
        <v>32.203444251904187</v>
      </c>
      <c r="I167" s="175">
        <f t="shared" si="20"/>
        <v>27.842890604667303</v>
      </c>
    </row>
    <row r="168" spans="1:9" s="183" customFormat="1" ht="12" x14ac:dyDescent="0.3">
      <c r="A168" s="177"/>
      <c r="B168" s="178"/>
      <c r="C168" s="485" t="s">
        <v>100</v>
      </c>
      <c r="D168" s="190" t="s">
        <v>101</v>
      </c>
      <c r="E168" s="168">
        <f>'POSEBNI DIO'!C103</f>
        <v>2966.17</v>
      </c>
      <c r="F168" s="168">
        <f>'POSEBNI DIO'!D103</f>
        <v>2027</v>
      </c>
      <c r="G168" s="168">
        <f>'POSEBNI DIO'!E103</f>
        <v>981.73</v>
      </c>
      <c r="H168" s="168">
        <f t="shared" si="19"/>
        <v>33.097563524679977</v>
      </c>
      <c r="I168" s="182">
        <f t="shared" si="20"/>
        <v>48.432659102121363</v>
      </c>
    </row>
    <row r="169" spans="1:9" s="183" customFormat="1" ht="12" x14ac:dyDescent="0.3">
      <c r="A169" s="177"/>
      <c r="B169" s="178"/>
      <c r="C169" s="485" t="s">
        <v>90</v>
      </c>
      <c r="D169" s="180" t="s">
        <v>91</v>
      </c>
      <c r="E169" s="168">
        <f>'POSEBNI DIO'!C131</f>
        <v>0</v>
      </c>
      <c r="F169" s="168">
        <f>'POSEBNI DIO'!D131</f>
        <v>0</v>
      </c>
      <c r="G169" s="168">
        <f>'POSEBNI DIO'!E131</f>
        <v>0</v>
      </c>
      <c r="H169" s="168" t="e">
        <f t="shared" si="19"/>
        <v>#DIV/0!</v>
      </c>
      <c r="I169" s="182" t="e">
        <f t="shared" si="20"/>
        <v>#DIV/0!</v>
      </c>
    </row>
    <row r="170" spans="1:9" s="183" customFormat="1" ht="12" x14ac:dyDescent="0.3">
      <c r="A170" s="177"/>
      <c r="B170" s="178"/>
      <c r="C170" s="485" t="s">
        <v>327</v>
      </c>
      <c r="D170" s="180" t="s">
        <v>87</v>
      </c>
      <c r="E170" s="168">
        <f>'POSEBNI DIO'!C177+'POSEBNI DIO'!C405</f>
        <v>4000</v>
      </c>
      <c r="F170" s="168">
        <f>'POSEBNI DIO'!D177+'POSEBNI DIO'!D405</f>
        <v>5000</v>
      </c>
      <c r="G170" s="168">
        <f>'POSEBNI DIO'!E177+'POSEBNI DIO'!E405</f>
        <v>2227.7199999999998</v>
      </c>
      <c r="H170" s="168">
        <f t="shared" si="19"/>
        <v>55.692999999999991</v>
      </c>
      <c r="I170" s="182">
        <f t="shared" si="20"/>
        <v>44.554399999999994</v>
      </c>
    </row>
    <row r="171" spans="1:9" s="183" customFormat="1" ht="12" x14ac:dyDescent="0.3">
      <c r="A171" s="177"/>
      <c r="B171" s="178"/>
      <c r="C171" s="485" t="s">
        <v>331</v>
      </c>
      <c r="D171" s="180" t="s">
        <v>88</v>
      </c>
      <c r="E171" s="168">
        <f>'POSEBNI DIO'!C218</f>
        <v>3000</v>
      </c>
      <c r="F171" s="168">
        <f>'POSEBNI DIO'!D218</f>
        <v>4500</v>
      </c>
      <c r="G171" s="168">
        <f>'POSEBNI DIO'!E218</f>
        <v>0</v>
      </c>
      <c r="H171" s="168">
        <f t="shared" si="19"/>
        <v>0</v>
      </c>
      <c r="I171" s="182">
        <f t="shared" si="20"/>
        <v>0</v>
      </c>
    </row>
    <row r="172" spans="1:9" s="183" customFormat="1" ht="12" x14ac:dyDescent="0.3">
      <c r="A172" s="177"/>
      <c r="B172" s="178"/>
      <c r="C172" s="485" t="s">
        <v>99</v>
      </c>
      <c r="D172" s="179" t="s">
        <v>16</v>
      </c>
      <c r="E172" s="168">
        <f>'POSEBNI DIO'!C36</f>
        <v>500</v>
      </c>
      <c r="F172" s="168">
        <f>'POSEBNI DIO'!D219</f>
        <v>0</v>
      </c>
      <c r="G172" s="168">
        <f>'POSEBNI DIO'!E219</f>
        <v>0</v>
      </c>
      <c r="H172" s="168"/>
      <c r="I172" s="182"/>
    </row>
    <row r="173" spans="1:9" s="176" customFormat="1" ht="12" x14ac:dyDescent="0.3">
      <c r="A173" s="187"/>
      <c r="B173" s="188">
        <v>3232</v>
      </c>
      <c r="C173" s="546"/>
      <c r="D173" s="188" t="s">
        <v>121</v>
      </c>
      <c r="E173" s="167">
        <f>SUM(E174:E177)</f>
        <v>19613.84</v>
      </c>
      <c r="F173" s="167">
        <f t="shared" ref="F173:G173" si="63">SUM(F174:F177)</f>
        <v>24500</v>
      </c>
      <c r="G173" s="167">
        <f t="shared" si="63"/>
        <v>2738.3</v>
      </c>
      <c r="H173" s="167">
        <f t="shared" si="19"/>
        <v>13.961060149363918</v>
      </c>
      <c r="I173" s="175">
        <f t="shared" si="20"/>
        <v>11.176734693877552</v>
      </c>
    </row>
    <row r="174" spans="1:9" s="183" customFormat="1" ht="12" x14ac:dyDescent="0.3">
      <c r="A174" s="177"/>
      <c r="B174" s="178"/>
      <c r="C174" s="485" t="s">
        <v>100</v>
      </c>
      <c r="D174" s="190" t="s">
        <v>101</v>
      </c>
      <c r="E174" s="168">
        <f>'POSEBNI DIO'!C104+'POSEBNI DIO'!C326</f>
        <v>19613.84</v>
      </c>
      <c r="F174" s="168">
        <f>'POSEBNI DIO'!D104+'POSEBNI DIO'!D326</f>
        <v>24000</v>
      </c>
      <c r="G174" s="168">
        <f>'POSEBNI DIO'!E104+'POSEBNI DIO'!E326</f>
        <v>2738.3</v>
      </c>
      <c r="H174" s="168">
        <f t="shared" si="19"/>
        <v>13.961060149363918</v>
      </c>
      <c r="I174" s="182">
        <f t="shared" si="20"/>
        <v>11.409583333333334</v>
      </c>
    </row>
    <row r="175" spans="1:9" s="183" customFormat="1" ht="12" x14ac:dyDescent="0.3">
      <c r="A175" s="177"/>
      <c r="B175" s="178"/>
      <c r="C175" s="485" t="s">
        <v>90</v>
      </c>
      <c r="D175" s="180" t="s">
        <v>91</v>
      </c>
      <c r="E175" s="168">
        <f>'POSEBNI DIO'!C132</f>
        <v>0</v>
      </c>
      <c r="F175" s="168">
        <f>'POSEBNI DIO'!D132</f>
        <v>0</v>
      </c>
      <c r="G175" s="168">
        <f>'POSEBNI DIO'!E132</f>
        <v>0</v>
      </c>
      <c r="H175" s="168" t="e">
        <f t="shared" si="19"/>
        <v>#DIV/0!</v>
      </c>
      <c r="I175" s="182" t="e">
        <f t="shared" si="20"/>
        <v>#DIV/0!</v>
      </c>
    </row>
    <row r="176" spans="1:9" s="183" customFormat="1" ht="12" x14ac:dyDescent="0.3">
      <c r="A176" s="177"/>
      <c r="B176" s="178"/>
      <c r="C176" s="485" t="s">
        <v>331</v>
      </c>
      <c r="D176" s="180" t="s">
        <v>88</v>
      </c>
      <c r="E176" s="168">
        <f>'POSEBNI DIO'!C72+'POSEBNI DIO'!C219</f>
        <v>0</v>
      </c>
      <c r="F176" s="168">
        <f>'POSEBNI DIO'!D72+'POSEBNI DIO'!D219</f>
        <v>0</v>
      </c>
      <c r="G176" s="168">
        <f>'POSEBNI DIO'!E72+'POSEBNI DIO'!E219</f>
        <v>0</v>
      </c>
      <c r="H176" s="168" t="e">
        <f t="shared" si="19"/>
        <v>#DIV/0!</v>
      </c>
      <c r="I176" s="182" t="e">
        <f t="shared" si="20"/>
        <v>#DIV/0!</v>
      </c>
    </row>
    <row r="177" spans="1:9" s="183" customFormat="1" ht="12" x14ac:dyDescent="0.3">
      <c r="A177" s="177"/>
      <c r="B177" s="188"/>
      <c r="C177" s="485" t="s">
        <v>104</v>
      </c>
      <c r="D177" s="180" t="s">
        <v>105</v>
      </c>
      <c r="E177" s="168">
        <v>0</v>
      </c>
      <c r="F177" s="168">
        <f>'POSEBNI DIO'!D268</f>
        <v>500</v>
      </c>
      <c r="G177" s="168">
        <f>'POSEBNI DIO'!E268</f>
        <v>0</v>
      </c>
      <c r="H177" s="168" t="e">
        <f t="shared" si="19"/>
        <v>#DIV/0!</v>
      </c>
      <c r="I177" s="182">
        <f t="shared" si="20"/>
        <v>0</v>
      </c>
    </row>
    <row r="178" spans="1:9" s="176" customFormat="1" ht="12" x14ac:dyDescent="0.3">
      <c r="A178" s="187"/>
      <c r="B178" s="188">
        <v>3233</v>
      </c>
      <c r="C178" s="546"/>
      <c r="D178" s="188" t="s">
        <v>130</v>
      </c>
      <c r="E178" s="167">
        <f>SUM(E179:E180)</f>
        <v>0</v>
      </c>
      <c r="F178" s="167">
        <f t="shared" ref="F178:G178" si="64">SUM(F179:F180)</f>
        <v>100</v>
      </c>
      <c r="G178" s="167">
        <f t="shared" si="64"/>
        <v>0</v>
      </c>
      <c r="H178" s="167" t="e">
        <f t="shared" si="19"/>
        <v>#DIV/0!</v>
      </c>
      <c r="I178" s="175">
        <f t="shared" si="20"/>
        <v>0</v>
      </c>
    </row>
    <row r="179" spans="1:9" s="183" customFormat="1" ht="12" x14ac:dyDescent="0.3">
      <c r="A179" s="177"/>
      <c r="B179" s="178"/>
      <c r="C179" s="485" t="s">
        <v>100</v>
      </c>
      <c r="D179" s="190" t="s">
        <v>101</v>
      </c>
      <c r="E179" s="168">
        <f>'POSEBNI DIO'!C105</f>
        <v>0</v>
      </c>
      <c r="F179" s="168">
        <f>'POSEBNI DIO'!D105</f>
        <v>100</v>
      </c>
      <c r="G179" s="168">
        <f>'POSEBNI DIO'!E105</f>
        <v>0</v>
      </c>
      <c r="H179" s="168" t="e">
        <f t="shared" si="19"/>
        <v>#DIV/0!</v>
      </c>
      <c r="I179" s="182">
        <f t="shared" si="20"/>
        <v>0</v>
      </c>
    </row>
    <row r="180" spans="1:9" s="183" customFormat="1" ht="12" x14ac:dyDescent="0.3">
      <c r="A180" s="177"/>
      <c r="B180" s="178"/>
      <c r="C180" s="485" t="s">
        <v>327</v>
      </c>
      <c r="D180" s="180" t="s">
        <v>87</v>
      </c>
      <c r="E180" s="168">
        <f>'POSEBNI DIO'!C178</f>
        <v>0</v>
      </c>
      <c r="F180" s="168">
        <f>'POSEBNI DIO'!D178</f>
        <v>0</v>
      </c>
      <c r="G180" s="168">
        <f>'POSEBNI DIO'!E178</f>
        <v>0</v>
      </c>
      <c r="H180" s="168" t="e">
        <f t="shared" ref="H180" si="65">G180/E180*100</f>
        <v>#DIV/0!</v>
      </c>
      <c r="I180" s="182" t="e">
        <f t="shared" ref="I180" si="66">G180/F180*100</f>
        <v>#DIV/0!</v>
      </c>
    </row>
    <row r="181" spans="1:9" s="176" customFormat="1" ht="12" x14ac:dyDescent="0.3">
      <c r="A181" s="187"/>
      <c r="B181" s="188">
        <v>3234</v>
      </c>
      <c r="C181" s="546"/>
      <c r="D181" s="188" t="s">
        <v>131</v>
      </c>
      <c r="E181" s="167">
        <f>SUM(E182:E183)</f>
        <v>6257.24</v>
      </c>
      <c r="F181" s="167">
        <f t="shared" ref="F181:G181" si="67">SUM(F182:F183)</f>
        <v>5500</v>
      </c>
      <c r="G181" s="167">
        <f t="shared" si="67"/>
        <v>3634.96</v>
      </c>
      <c r="H181" s="167">
        <f t="shared" si="19"/>
        <v>58.092066150571178</v>
      </c>
      <c r="I181" s="175">
        <f t="shared" si="20"/>
        <v>66.090181818181819</v>
      </c>
    </row>
    <row r="182" spans="1:9" s="183" customFormat="1" ht="12" x14ac:dyDescent="0.3">
      <c r="A182" s="177"/>
      <c r="B182" s="178"/>
      <c r="C182" s="485" t="s">
        <v>100</v>
      </c>
      <c r="D182" s="190" t="s">
        <v>101</v>
      </c>
      <c r="E182" s="168">
        <f>'POSEBNI DIO'!C106</f>
        <v>6257.24</v>
      </c>
      <c r="F182" s="168">
        <f>'POSEBNI DIO'!D106</f>
        <v>5500</v>
      </c>
      <c r="G182" s="168">
        <f>'POSEBNI DIO'!E106</f>
        <v>3634.96</v>
      </c>
      <c r="H182" s="168">
        <f t="shared" si="19"/>
        <v>58.092066150571178</v>
      </c>
      <c r="I182" s="182">
        <f t="shared" si="20"/>
        <v>66.090181818181819</v>
      </c>
    </row>
    <row r="183" spans="1:9" s="183" customFormat="1" ht="12" x14ac:dyDescent="0.3">
      <c r="A183" s="177"/>
      <c r="B183" s="178"/>
      <c r="C183" s="485" t="s">
        <v>90</v>
      </c>
      <c r="D183" s="180" t="s">
        <v>91</v>
      </c>
      <c r="E183" s="168">
        <f>'POSEBNI DIO'!C133</f>
        <v>0</v>
      </c>
      <c r="F183" s="168">
        <f>'POSEBNI DIO'!D133</f>
        <v>0</v>
      </c>
      <c r="G183" s="168">
        <f>'POSEBNI DIO'!E133</f>
        <v>0</v>
      </c>
      <c r="H183" s="168" t="e">
        <f t="shared" ref="H183" si="68">G183/E183*100</f>
        <v>#DIV/0!</v>
      </c>
      <c r="I183" s="182" t="e">
        <f t="shared" ref="I183" si="69">G183/F183*100</f>
        <v>#DIV/0!</v>
      </c>
    </row>
    <row r="184" spans="1:9" s="176" customFormat="1" ht="12" x14ac:dyDescent="0.3">
      <c r="A184" s="187"/>
      <c r="B184" s="188">
        <v>3236</v>
      </c>
      <c r="C184" s="546"/>
      <c r="D184" s="188" t="s">
        <v>156</v>
      </c>
      <c r="E184" s="167">
        <f>SUM(E185:E188)</f>
        <v>2654.2</v>
      </c>
      <c r="F184" s="167">
        <f t="shared" ref="F184:G184" si="70">SUM(F185:F188)</f>
        <v>3267</v>
      </c>
      <c r="G184" s="167">
        <f t="shared" si="70"/>
        <v>759.48</v>
      </c>
      <c r="H184" s="167">
        <f t="shared" si="19"/>
        <v>28.614271720292368</v>
      </c>
      <c r="I184" s="175">
        <f t="shared" si="20"/>
        <v>23.247015610651975</v>
      </c>
    </row>
    <row r="185" spans="1:9" s="463" customFormat="1" ht="12" x14ac:dyDescent="0.3">
      <c r="A185" s="484"/>
      <c r="B185" s="179"/>
      <c r="C185" s="485" t="s">
        <v>99</v>
      </c>
      <c r="D185" s="179" t="s">
        <v>16</v>
      </c>
      <c r="E185" s="551">
        <f>'POSEBNI DIO'!C356</f>
        <v>0</v>
      </c>
      <c r="F185" s="551">
        <f>'POSEBNI DIO'!D356</f>
        <v>0</v>
      </c>
      <c r="G185" s="551">
        <f>'POSEBNI DIO'!E356</f>
        <v>0</v>
      </c>
      <c r="H185" s="167" t="e">
        <f t="shared" ref="H185" si="71">G185/E185*100</f>
        <v>#DIV/0!</v>
      </c>
      <c r="I185" s="175" t="e">
        <f t="shared" ref="I185" si="72">G185/F185*100</f>
        <v>#DIV/0!</v>
      </c>
    </row>
    <row r="186" spans="1:9" s="183" customFormat="1" ht="12" x14ac:dyDescent="0.3">
      <c r="A186" s="177"/>
      <c r="B186" s="178"/>
      <c r="C186" s="485" t="s">
        <v>100</v>
      </c>
      <c r="D186" s="190" t="s">
        <v>101</v>
      </c>
      <c r="E186" s="168">
        <f>'POSEBNI DIO'!C107</f>
        <v>2654.2</v>
      </c>
      <c r="F186" s="168">
        <f>'POSEBNI DIO'!D107</f>
        <v>3267</v>
      </c>
      <c r="G186" s="168">
        <f>'POSEBNI DIO'!E107</f>
        <v>759.48</v>
      </c>
      <c r="H186" s="168">
        <f t="shared" si="19"/>
        <v>28.614271720292368</v>
      </c>
      <c r="I186" s="182">
        <f t="shared" si="20"/>
        <v>23.247015610651975</v>
      </c>
    </row>
    <row r="187" spans="1:9" s="183" customFormat="1" ht="12" x14ac:dyDescent="0.3">
      <c r="A187" s="177"/>
      <c r="B187" s="178"/>
      <c r="C187" s="485" t="s">
        <v>327</v>
      </c>
      <c r="D187" s="180" t="s">
        <v>87</v>
      </c>
      <c r="E187" s="168">
        <f>'POSEBNI DIO'!C179</f>
        <v>0</v>
      </c>
      <c r="F187" s="168">
        <f>'POSEBNI DIO'!D179</f>
        <v>0</v>
      </c>
      <c r="G187" s="168">
        <f>'POSEBNI DIO'!E179</f>
        <v>0</v>
      </c>
      <c r="H187" s="168" t="e">
        <f t="shared" si="19"/>
        <v>#DIV/0!</v>
      </c>
      <c r="I187" s="182" t="e">
        <f t="shared" si="20"/>
        <v>#DIV/0!</v>
      </c>
    </row>
    <row r="188" spans="1:9" s="183" customFormat="1" ht="12" x14ac:dyDescent="0.3">
      <c r="A188" s="177"/>
      <c r="B188" s="178"/>
      <c r="C188" s="485" t="s">
        <v>328</v>
      </c>
      <c r="D188" s="190" t="s">
        <v>102</v>
      </c>
      <c r="E188" s="168">
        <f>'POSEBNI DIO'!C371</f>
        <v>0</v>
      </c>
      <c r="F188" s="168">
        <f>'POSEBNI DIO'!D371</f>
        <v>0</v>
      </c>
      <c r="G188" s="168">
        <f>'POSEBNI DIO'!E371</f>
        <v>0</v>
      </c>
      <c r="H188" s="168" t="e">
        <f t="shared" ref="H188" si="73">G188/E188*100</f>
        <v>#DIV/0!</v>
      </c>
      <c r="I188" s="182" t="e">
        <f t="shared" ref="I188" si="74">G188/F188*100</f>
        <v>#DIV/0!</v>
      </c>
    </row>
    <row r="189" spans="1:9" s="176" customFormat="1" ht="12" x14ac:dyDescent="0.3">
      <c r="A189" s="187"/>
      <c r="B189" s="188">
        <v>3237</v>
      </c>
      <c r="C189" s="546"/>
      <c r="D189" s="188" t="s">
        <v>132</v>
      </c>
      <c r="E189" s="167">
        <f t="shared" ref="E189" si="75">SUM(E190:E195)</f>
        <v>1566.49</v>
      </c>
      <c r="F189" s="167">
        <f t="shared" ref="F189:G189" si="76">SUM(F190:F195)</f>
        <v>0</v>
      </c>
      <c r="G189" s="167">
        <f t="shared" si="76"/>
        <v>2126.31</v>
      </c>
      <c r="H189" s="167">
        <f t="shared" si="19"/>
        <v>135.73722143135291</v>
      </c>
      <c r="I189" s="175" t="e">
        <f t="shared" si="20"/>
        <v>#DIV/0!</v>
      </c>
    </row>
    <row r="190" spans="1:9" s="183" customFormat="1" ht="12" x14ac:dyDescent="0.3">
      <c r="A190" s="177"/>
      <c r="B190" s="178"/>
      <c r="C190" s="485" t="s">
        <v>99</v>
      </c>
      <c r="D190" s="179" t="s">
        <v>16</v>
      </c>
      <c r="E190" s="168">
        <f>'POSEBNI DIO'!C36</f>
        <v>500</v>
      </c>
      <c r="F190" s="168">
        <f>'POSEBNI DIO'!D36</f>
        <v>0</v>
      </c>
      <c r="G190" s="168">
        <f>'POSEBNI DIO'!E36</f>
        <v>0</v>
      </c>
      <c r="H190" s="168">
        <f t="shared" si="19"/>
        <v>0</v>
      </c>
      <c r="I190" s="182" t="e">
        <f t="shared" si="20"/>
        <v>#DIV/0!</v>
      </c>
    </row>
    <row r="191" spans="1:9" s="183" customFormat="1" ht="12" x14ac:dyDescent="0.3">
      <c r="A191" s="177"/>
      <c r="B191" s="178"/>
      <c r="C191" s="485" t="s">
        <v>100</v>
      </c>
      <c r="D191" s="190" t="s">
        <v>101</v>
      </c>
      <c r="E191" s="168">
        <f>'POSEBNI DIO'!C108+'POSEBNI DIO'!C327</f>
        <v>0</v>
      </c>
      <c r="F191" s="168">
        <f>'POSEBNI DIO'!D108+'POSEBNI DIO'!D327</f>
        <v>0</v>
      </c>
      <c r="G191" s="168">
        <f>'POSEBNI DIO'!E108+'POSEBNI DIO'!E327</f>
        <v>0</v>
      </c>
      <c r="H191" s="168" t="e">
        <f t="shared" si="19"/>
        <v>#DIV/0!</v>
      </c>
      <c r="I191" s="182" t="e">
        <f t="shared" si="20"/>
        <v>#DIV/0!</v>
      </c>
    </row>
    <row r="192" spans="1:9" s="183" customFormat="1" ht="12" x14ac:dyDescent="0.3">
      <c r="A192" s="177"/>
      <c r="B192" s="178"/>
      <c r="C192" s="485" t="s">
        <v>90</v>
      </c>
      <c r="D192" s="180" t="s">
        <v>91</v>
      </c>
      <c r="E192" s="168">
        <f>'POSEBNI DIO'!C134</f>
        <v>0</v>
      </c>
      <c r="F192" s="168">
        <f>'POSEBNI DIO'!D134</f>
        <v>0</v>
      </c>
      <c r="G192" s="168">
        <f>'POSEBNI DIO'!E134</f>
        <v>0</v>
      </c>
      <c r="H192" s="168" t="e">
        <f t="shared" ref="H192" si="77">G192/E192*100</f>
        <v>#DIV/0!</v>
      </c>
      <c r="I192" s="182" t="e">
        <f t="shared" ref="I192" si="78">G192/F192*100</f>
        <v>#DIV/0!</v>
      </c>
    </row>
    <row r="193" spans="1:9" s="183" customFormat="1" ht="12" x14ac:dyDescent="0.3">
      <c r="A193" s="177"/>
      <c r="B193" s="178"/>
      <c r="C193" s="485" t="s">
        <v>327</v>
      </c>
      <c r="D193" s="180" t="s">
        <v>87</v>
      </c>
      <c r="E193" s="168">
        <f>'POSEBNI DIO'!C180</f>
        <v>1066.49</v>
      </c>
      <c r="F193" s="168">
        <f>'POSEBNI DIO'!D180</f>
        <v>0</v>
      </c>
      <c r="G193" s="168">
        <f>'POSEBNI DIO'!E180</f>
        <v>2126.31</v>
      </c>
      <c r="H193" s="168">
        <f t="shared" ref="H193" si="79">G193/E193*100</f>
        <v>199.37458391546099</v>
      </c>
      <c r="I193" s="182" t="e">
        <f t="shared" ref="I193" si="80">G193/F193*100</f>
        <v>#DIV/0!</v>
      </c>
    </row>
    <row r="194" spans="1:9" s="183" customFormat="1" ht="12" x14ac:dyDescent="0.3">
      <c r="A194" s="177"/>
      <c r="B194" s="178"/>
      <c r="C194" s="485" t="s">
        <v>331</v>
      </c>
      <c r="D194" s="180" t="s">
        <v>88</v>
      </c>
      <c r="E194" s="168">
        <f>'POSEBNI DIO'!C220</f>
        <v>0</v>
      </c>
      <c r="F194" s="168">
        <f>'POSEBNI DIO'!D220</f>
        <v>0</v>
      </c>
      <c r="G194" s="168">
        <f>'POSEBNI DIO'!E220</f>
        <v>0</v>
      </c>
      <c r="H194" s="168" t="e">
        <f t="shared" si="19"/>
        <v>#DIV/0!</v>
      </c>
      <c r="I194" s="182" t="e">
        <f t="shared" si="20"/>
        <v>#DIV/0!</v>
      </c>
    </row>
    <row r="195" spans="1:9" s="183" customFormat="1" ht="12" x14ac:dyDescent="0.3">
      <c r="A195" s="177"/>
      <c r="B195" s="188"/>
      <c r="C195" s="485" t="s">
        <v>95</v>
      </c>
      <c r="D195" s="180" t="s">
        <v>96</v>
      </c>
      <c r="E195" s="168">
        <f>'POSEBNI DIO'!C247</f>
        <v>0</v>
      </c>
      <c r="F195" s="168">
        <f>'POSEBNI DIO'!D247</f>
        <v>0</v>
      </c>
      <c r="G195" s="168">
        <f>'POSEBNI DIO'!E247</f>
        <v>0</v>
      </c>
      <c r="H195" s="168" t="e">
        <f t="shared" si="19"/>
        <v>#DIV/0!</v>
      </c>
      <c r="I195" s="182" t="e">
        <f t="shared" si="20"/>
        <v>#DIV/0!</v>
      </c>
    </row>
    <row r="196" spans="1:9" s="176" customFormat="1" ht="12" x14ac:dyDescent="0.3">
      <c r="A196" s="187"/>
      <c r="B196" s="188">
        <v>3238</v>
      </c>
      <c r="C196" s="546"/>
      <c r="D196" s="188" t="s">
        <v>133</v>
      </c>
      <c r="E196" s="167">
        <f t="shared" ref="E196" si="81">SUM(E197:E198)</f>
        <v>6260.22</v>
      </c>
      <c r="F196" s="167">
        <f t="shared" ref="F196:G196" si="82">SUM(F197:F198)</f>
        <v>5200</v>
      </c>
      <c r="G196" s="167">
        <f t="shared" si="82"/>
        <v>3721.81</v>
      </c>
      <c r="H196" s="167">
        <f t="shared" si="19"/>
        <v>59.45174450738152</v>
      </c>
      <c r="I196" s="175">
        <f t="shared" si="20"/>
        <v>71.573269230769228</v>
      </c>
    </row>
    <row r="197" spans="1:9" s="183" customFormat="1" ht="12" x14ac:dyDescent="0.3">
      <c r="A197" s="177"/>
      <c r="B197" s="178"/>
      <c r="C197" s="485" t="s">
        <v>100</v>
      </c>
      <c r="D197" s="190" t="s">
        <v>101</v>
      </c>
      <c r="E197" s="168">
        <f>'POSEBNI DIO'!C109</f>
        <v>6260.22</v>
      </c>
      <c r="F197" s="168">
        <f>'POSEBNI DIO'!D109</f>
        <v>5200</v>
      </c>
      <c r="G197" s="168">
        <f>'POSEBNI DIO'!E109</f>
        <v>3721.81</v>
      </c>
      <c r="H197" s="168">
        <f t="shared" si="19"/>
        <v>59.45174450738152</v>
      </c>
      <c r="I197" s="182">
        <f t="shared" si="20"/>
        <v>71.573269230769228</v>
      </c>
    </row>
    <row r="198" spans="1:9" s="183" customFormat="1" ht="12" x14ac:dyDescent="0.3">
      <c r="A198" s="177"/>
      <c r="B198" s="178"/>
      <c r="C198" s="485" t="s">
        <v>90</v>
      </c>
      <c r="D198" s="180" t="s">
        <v>91</v>
      </c>
      <c r="E198" s="168">
        <f>'POSEBNI DIO'!C135</f>
        <v>0</v>
      </c>
      <c r="F198" s="168">
        <f>'POSEBNI DIO'!D135</f>
        <v>0</v>
      </c>
      <c r="G198" s="168">
        <f>'POSEBNI DIO'!E135</f>
        <v>0</v>
      </c>
      <c r="H198" s="168" t="e">
        <f t="shared" si="19"/>
        <v>#DIV/0!</v>
      </c>
      <c r="I198" s="182" t="e">
        <f t="shared" si="20"/>
        <v>#DIV/0!</v>
      </c>
    </row>
    <row r="199" spans="1:9" s="176" customFormat="1" ht="12" x14ac:dyDescent="0.3">
      <c r="A199" s="187"/>
      <c r="B199" s="188">
        <v>3239</v>
      </c>
      <c r="C199" s="546"/>
      <c r="D199" s="188" t="s">
        <v>134</v>
      </c>
      <c r="E199" s="167">
        <f t="shared" ref="E199" si="83">SUM(E200:E202)</f>
        <v>1961.85</v>
      </c>
      <c r="F199" s="167">
        <f t="shared" ref="F199:G199" si="84">SUM(F200:F202)</f>
        <v>3646</v>
      </c>
      <c r="G199" s="167">
        <f t="shared" si="84"/>
        <v>2032.06</v>
      </c>
      <c r="H199" s="167">
        <f t="shared" si="19"/>
        <v>103.57876494125442</v>
      </c>
      <c r="I199" s="175">
        <f t="shared" si="20"/>
        <v>55.733955019199122</v>
      </c>
    </row>
    <row r="200" spans="1:9" s="183" customFormat="1" ht="12" x14ac:dyDescent="0.3">
      <c r="A200" s="177"/>
      <c r="B200" s="178"/>
      <c r="C200" s="485" t="s">
        <v>100</v>
      </c>
      <c r="D200" s="190" t="s">
        <v>101</v>
      </c>
      <c r="E200" s="168">
        <f>'POSEBNI DIO'!C110</f>
        <v>1961.85</v>
      </c>
      <c r="F200" s="168">
        <f>'POSEBNI DIO'!D110</f>
        <v>2646</v>
      </c>
      <c r="G200" s="168">
        <f>'POSEBNI DIO'!E110</f>
        <v>2032.06</v>
      </c>
      <c r="H200" s="168">
        <f t="shared" si="19"/>
        <v>103.57876494125442</v>
      </c>
      <c r="I200" s="182">
        <f t="shared" si="20"/>
        <v>76.797430083144363</v>
      </c>
    </row>
    <row r="201" spans="1:9" s="183" customFormat="1" ht="12" x14ac:dyDescent="0.3">
      <c r="A201" s="177"/>
      <c r="B201" s="178"/>
      <c r="C201" s="485" t="s">
        <v>90</v>
      </c>
      <c r="D201" s="180" t="s">
        <v>91</v>
      </c>
      <c r="E201" s="168">
        <f>'POSEBNI DIO'!C136</f>
        <v>0</v>
      </c>
      <c r="F201" s="168">
        <f>'POSEBNI DIO'!D136</f>
        <v>1000</v>
      </c>
      <c r="G201" s="168">
        <f>'POSEBNI DIO'!E136</f>
        <v>0</v>
      </c>
      <c r="H201" s="168" t="e">
        <f t="shared" ref="H201" si="85">G201/E201*100</f>
        <v>#DIV/0!</v>
      </c>
      <c r="I201" s="182">
        <f t="shared" ref="I201" si="86">G201/F201*100</f>
        <v>0</v>
      </c>
    </row>
    <row r="202" spans="1:9" s="183" customFormat="1" ht="12" x14ac:dyDescent="0.3">
      <c r="A202" s="177"/>
      <c r="B202" s="178"/>
      <c r="C202" s="485" t="s">
        <v>331</v>
      </c>
      <c r="D202" s="180" t="s">
        <v>88</v>
      </c>
      <c r="E202" s="168">
        <f>'POSEBNI DIO'!C221</f>
        <v>0</v>
      </c>
      <c r="F202" s="168">
        <f>'POSEBNI DIO'!D221</f>
        <v>0</v>
      </c>
      <c r="G202" s="168">
        <f>'POSEBNI DIO'!E221</f>
        <v>0</v>
      </c>
      <c r="H202" s="168" t="e">
        <f t="shared" si="19"/>
        <v>#DIV/0!</v>
      </c>
      <c r="I202" s="182" t="e">
        <f t="shared" si="20"/>
        <v>#DIV/0!</v>
      </c>
    </row>
    <row r="203" spans="1:9" s="27" customFormat="1" x14ac:dyDescent="0.3">
      <c r="A203" s="35"/>
      <c r="B203" s="11">
        <v>329</v>
      </c>
      <c r="C203" s="473"/>
      <c r="D203" s="11" t="s">
        <v>191</v>
      </c>
      <c r="E203" s="60">
        <f>E204+E207+E211+E215+E218+E220</f>
        <v>34242.699999999997</v>
      </c>
      <c r="F203" s="60">
        <f t="shared" ref="F203:G203" si="87">F204+F207+F211+F215+F218+F220</f>
        <v>41425</v>
      </c>
      <c r="G203" s="60">
        <f t="shared" si="87"/>
        <v>11064.38</v>
      </c>
      <c r="H203" s="60">
        <f t="shared" si="19"/>
        <v>32.311645985859762</v>
      </c>
      <c r="I203" s="72">
        <f t="shared" si="20"/>
        <v>26.709426674713338</v>
      </c>
    </row>
    <row r="204" spans="1:9" s="176" customFormat="1" ht="12" x14ac:dyDescent="0.3">
      <c r="A204" s="187"/>
      <c r="B204" s="188">
        <v>3292</v>
      </c>
      <c r="C204" s="546"/>
      <c r="D204" s="188" t="s">
        <v>135</v>
      </c>
      <c r="E204" s="167">
        <f>E205+E206</f>
        <v>1721.72</v>
      </c>
      <c r="F204" s="167">
        <f t="shared" ref="F204:G204" si="88">F205</f>
        <v>1000</v>
      </c>
      <c r="G204" s="167">
        <f t="shared" si="88"/>
        <v>25.81</v>
      </c>
      <c r="H204" s="167">
        <f t="shared" si="19"/>
        <v>1.4990823130358013</v>
      </c>
      <c r="I204" s="175">
        <f t="shared" si="20"/>
        <v>2.581</v>
      </c>
    </row>
    <row r="205" spans="1:9" s="183" customFormat="1" ht="12" x14ac:dyDescent="0.3">
      <c r="A205" s="177"/>
      <c r="B205" s="178"/>
      <c r="C205" s="485" t="s">
        <v>100</v>
      </c>
      <c r="D205" s="190" t="s">
        <v>101</v>
      </c>
      <c r="E205" s="168">
        <f>'POSEBNI DIO'!C112</f>
        <v>1416.28</v>
      </c>
      <c r="F205" s="168">
        <f>'POSEBNI DIO'!D112</f>
        <v>1000</v>
      </c>
      <c r="G205" s="168">
        <f>'POSEBNI DIO'!E112</f>
        <v>25.81</v>
      </c>
      <c r="H205" s="168">
        <f t="shared" si="19"/>
        <v>1.8223797554155956</v>
      </c>
      <c r="I205" s="182">
        <f t="shared" si="20"/>
        <v>2.581</v>
      </c>
    </row>
    <row r="206" spans="1:9" s="183" customFormat="1" ht="12" x14ac:dyDescent="0.3">
      <c r="A206" s="177"/>
      <c r="B206" s="178"/>
      <c r="C206" s="485" t="s">
        <v>327</v>
      </c>
      <c r="D206" s="180" t="s">
        <v>87</v>
      </c>
      <c r="E206" s="168">
        <f>'POSEBNI DIO'!C409</f>
        <v>305.44</v>
      </c>
      <c r="F206" s="168">
        <f>'POSEBNI DIO'!D409</f>
        <v>500</v>
      </c>
      <c r="G206" s="168">
        <f>'POSEBNI DIO'!E409</f>
        <v>393.26</v>
      </c>
      <c r="H206" s="168"/>
      <c r="I206" s="182"/>
    </row>
    <row r="207" spans="1:9" s="176" customFormat="1" ht="12" x14ac:dyDescent="0.3">
      <c r="A207" s="187"/>
      <c r="B207" s="188">
        <v>3293</v>
      </c>
      <c r="C207" s="546"/>
      <c r="D207" s="188" t="s">
        <v>136</v>
      </c>
      <c r="E207" s="167">
        <f>E208+E209+E210</f>
        <v>2916.35</v>
      </c>
      <c r="F207" s="167">
        <f t="shared" ref="F207:G207" si="89">F208+F209</f>
        <v>1420</v>
      </c>
      <c r="G207" s="167">
        <f t="shared" si="89"/>
        <v>40.1</v>
      </c>
      <c r="H207" s="167">
        <f t="shared" si="19"/>
        <v>1.3750064292694637</v>
      </c>
      <c r="I207" s="175">
        <f t="shared" si="20"/>
        <v>2.823943661971831</v>
      </c>
    </row>
    <row r="208" spans="1:9" s="183" customFormat="1" ht="12" x14ac:dyDescent="0.3">
      <c r="A208" s="177"/>
      <c r="B208" s="178"/>
      <c r="C208" s="485" t="s">
        <v>100</v>
      </c>
      <c r="D208" s="190" t="s">
        <v>101</v>
      </c>
      <c r="E208" s="168">
        <f>'POSEBNI DIO'!C113</f>
        <v>1364.59</v>
      </c>
      <c r="F208" s="168">
        <f>'POSEBNI DIO'!D113</f>
        <v>1420</v>
      </c>
      <c r="G208" s="168">
        <f>'POSEBNI DIO'!E113</f>
        <v>40.1</v>
      </c>
      <c r="H208" s="168">
        <f t="shared" si="19"/>
        <v>2.9386115976227294</v>
      </c>
      <c r="I208" s="182">
        <f t="shared" si="20"/>
        <v>2.823943661971831</v>
      </c>
    </row>
    <row r="209" spans="1:9" s="183" customFormat="1" ht="12" x14ac:dyDescent="0.3">
      <c r="A209" s="177"/>
      <c r="B209" s="178"/>
      <c r="C209" s="485" t="s">
        <v>90</v>
      </c>
      <c r="D209" s="180" t="s">
        <v>91</v>
      </c>
      <c r="E209" s="168">
        <f>'POSEBNI DIO'!C138</f>
        <v>0</v>
      </c>
      <c r="F209" s="168">
        <f>'POSEBNI DIO'!D138</f>
        <v>0</v>
      </c>
      <c r="G209" s="168">
        <f>'POSEBNI DIO'!E138</f>
        <v>0</v>
      </c>
      <c r="H209" s="168" t="e">
        <f t="shared" ref="H209" si="90">G209/E209*100</f>
        <v>#DIV/0!</v>
      </c>
      <c r="I209" s="182" t="e">
        <f t="shared" ref="I209" si="91">G209/F209*100</f>
        <v>#DIV/0!</v>
      </c>
    </row>
    <row r="210" spans="1:9" s="183" customFormat="1" ht="12" x14ac:dyDescent="0.3">
      <c r="A210" s="177"/>
      <c r="B210" s="178"/>
      <c r="C210" s="485" t="s">
        <v>327</v>
      </c>
      <c r="D210" s="180" t="s">
        <v>87</v>
      </c>
      <c r="E210" s="168">
        <f>'POSEBNI DIO'!C410</f>
        <v>1551.76</v>
      </c>
      <c r="F210" s="168">
        <f>'POSEBNI DIO'!D410</f>
        <v>1000</v>
      </c>
      <c r="G210" s="168">
        <f>'POSEBNI DIO'!E410</f>
        <v>523.52</v>
      </c>
      <c r="H210" s="168"/>
      <c r="I210" s="182"/>
    </row>
    <row r="211" spans="1:9" s="176" customFormat="1" ht="12" x14ac:dyDescent="0.3">
      <c r="A211" s="187"/>
      <c r="B211" s="188">
        <v>3294</v>
      </c>
      <c r="C211" s="546"/>
      <c r="D211" s="188" t="s">
        <v>158</v>
      </c>
      <c r="E211" s="167">
        <f t="shared" ref="E211" si="92">SUM(E212:E214)</f>
        <v>240</v>
      </c>
      <c r="F211" s="167">
        <f t="shared" ref="F211:G211" si="93">SUM(F212:F214)</f>
        <v>385</v>
      </c>
      <c r="G211" s="167">
        <f t="shared" si="93"/>
        <v>165</v>
      </c>
      <c r="H211" s="167">
        <f t="shared" si="19"/>
        <v>68.75</v>
      </c>
      <c r="I211" s="175">
        <f t="shared" si="20"/>
        <v>42.857142857142854</v>
      </c>
    </row>
    <row r="212" spans="1:9" s="183" customFormat="1" ht="12" x14ac:dyDescent="0.3">
      <c r="A212" s="177"/>
      <c r="B212" s="178"/>
      <c r="C212" s="485" t="s">
        <v>100</v>
      </c>
      <c r="D212" s="190" t="s">
        <v>101</v>
      </c>
      <c r="E212" s="168">
        <f>'POSEBNI DIO'!C114</f>
        <v>240</v>
      </c>
      <c r="F212" s="168">
        <f>'POSEBNI DIO'!D114</f>
        <v>385</v>
      </c>
      <c r="G212" s="168">
        <f>'POSEBNI DIO'!E114</f>
        <v>165</v>
      </c>
      <c r="H212" s="168">
        <f t="shared" si="19"/>
        <v>68.75</v>
      </c>
      <c r="I212" s="182">
        <f t="shared" si="20"/>
        <v>42.857142857142854</v>
      </c>
    </row>
    <row r="213" spans="1:9" s="183" customFormat="1" ht="12" x14ac:dyDescent="0.3">
      <c r="A213" s="177"/>
      <c r="B213" s="178"/>
      <c r="C213" s="485" t="s">
        <v>90</v>
      </c>
      <c r="D213" s="180" t="s">
        <v>91</v>
      </c>
      <c r="E213" s="168">
        <f>'POSEBNI DIO'!C139</f>
        <v>0</v>
      </c>
      <c r="F213" s="168">
        <f>'POSEBNI DIO'!D139</f>
        <v>0</v>
      </c>
      <c r="G213" s="168">
        <f>'POSEBNI DIO'!E139</f>
        <v>0</v>
      </c>
      <c r="H213" s="168" t="e">
        <f t="shared" si="19"/>
        <v>#DIV/0!</v>
      </c>
      <c r="I213" s="182" t="e">
        <f t="shared" si="20"/>
        <v>#DIV/0!</v>
      </c>
    </row>
    <row r="214" spans="1:9" s="183" customFormat="1" ht="12" x14ac:dyDescent="0.3">
      <c r="A214" s="177"/>
      <c r="B214" s="178"/>
      <c r="C214" s="485" t="s">
        <v>95</v>
      </c>
      <c r="D214" s="190" t="s">
        <v>96</v>
      </c>
      <c r="E214" s="168">
        <f>'POSEBNI DIO'!C249</f>
        <v>0</v>
      </c>
      <c r="F214" s="168">
        <f>'POSEBNI DIO'!D249</f>
        <v>0</v>
      </c>
      <c r="G214" s="168">
        <f>'POSEBNI DIO'!E249</f>
        <v>0</v>
      </c>
      <c r="H214" s="168" t="e">
        <f t="shared" si="19"/>
        <v>#DIV/0!</v>
      </c>
      <c r="I214" s="182" t="e">
        <f t="shared" si="20"/>
        <v>#DIV/0!</v>
      </c>
    </row>
    <row r="215" spans="1:9" s="176" customFormat="1" ht="12" x14ac:dyDescent="0.3">
      <c r="A215" s="187"/>
      <c r="B215" s="188">
        <v>3295</v>
      </c>
      <c r="C215" s="546"/>
      <c r="D215" s="188" t="s">
        <v>137</v>
      </c>
      <c r="E215" s="167">
        <f t="shared" ref="E215" si="94">SUM(E216:E217)</f>
        <v>641.47</v>
      </c>
      <c r="F215" s="167">
        <f t="shared" ref="F215:G215" si="95">SUM(F216:F217)</f>
        <v>200</v>
      </c>
      <c r="G215" s="167">
        <f t="shared" si="95"/>
        <v>210.85</v>
      </c>
      <c r="H215" s="167">
        <f t="shared" si="19"/>
        <v>32.869814644488436</v>
      </c>
      <c r="I215" s="175">
        <f t="shared" si="20"/>
        <v>105.425</v>
      </c>
    </row>
    <row r="216" spans="1:9" s="183" customFormat="1" ht="12" x14ac:dyDescent="0.3">
      <c r="A216" s="177"/>
      <c r="B216" s="178"/>
      <c r="C216" s="485" t="s">
        <v>100</v>
      </c>
      <c r="D216" s="190" t="s">
        <v>101</v>
      </c>
      <c r="E216" s="168">
        <f>'POSEBNI DIO'!C115</f>
        <v>588.52</v>
      </c>
      <c r="F216" s="168">
        <f>'POSEBNI DIO'!D115</f>
        <v>100</v>
      </c>
      <c r="G216" s="168">
        <f>'POSEBNI DIO'!E115</f>
        <v>16.59</v>
      </c>
      <c r="H216" s="168">
        <f t="shared" si="19"/>
        <v>2.8189356351525863</v>
      </c>
      <c r="I216" s="182">
        <f t="shared" si="20"/>
        <v>16.59</v>
      </c>
    </row>
    <row r="217" spans="1:9" s="183" customFormat="1" ht="12" x14ac:dyDescent="0.3">
      <c r="A217" s="177"/>
      <c r="B217" s="178"/>
      <c r="C217" s="485" t="s">
        <v>327</v>
      </c>
      <c r="D217" s="180" t="s">
        <v>87</v>
      </c>
      <c r="E217" s="168">
        <f>'POSEBNI DIO'!C182+'POSEBNI DIO'!C411</f>
        <v>52.95</v>
      </c>
      <c r="F217" s="168">
        <f>'POSEBNI DIO'!D182+'POSEBNI DIO'!D411</f>
        <v>100</v>
      </c>
      <c r="G217" s="168">
        <f>'POSEBNI DIO'!E182+'POSEBNI DIO'!E411</f>
        <v>194.26</v>
      </c>
      <c r="H217" s="168">
        <f t="shared" si="19"/>
        <v>366.87440982058541</v>
      </c>
      <c r="I217" s="182">
        <f t="shared" si="20"/>
        <v>194.26</v>
      </c>
    </row>
    <row r="218" spans="1:9" s="176" customFormat="1" ht="12" x14ac:dyDescent="0.3">
      <c r="A218" s="187"/>
      <c r="B218" s="188">
        <v>3296</v>
      </c>
      <c r="C218" s="546"/>
      <c r="D218" s="188" t="s">
        <v>123</v>
      </c>
      <c r="E218" s="167">
        <f t="shared" ref="E218:G218" si="96">SUM(E219:E219)</f>
        <v>0</v>
      </c>
      <c r="F218" s="167">
        <f t="shared" si="96"/>
        <v>0</v>
      </c>
      <c r="G218" s="167">
        <f t="shared" si="96"/>
        <v>0</v>
      </c>
      <c r="H218" s="167" t="e">
        <f t="shared" si="19"/>
        <v>#DIV/0!</v>
      </c>
      <c r="I218" s="175" t="e">
        <f t="shared" si="20"/>
        <v>#DIV/0!</v>
      </c>
    </row>
    <row r="219" spans="1:9" s="183" customFormat="1" ht="12" x14ac:dyDescent="0.3">
      <c r="A219" s="177"/>
      <c r="B219" s="178"/>
      <c r="C219" s="485" t="s">
        <v>327</v>
      </c>
      <c r="D219" s="180" t="s">
        <v>87</v>
      </c>
      <c r="E219" s="168">
        <f>'POSEBNI DIO'!C183</f>
        <v>0</v>
      </c>
      <c r="F219" s="168">
        <f>'POSEBNI DIO'!D183</f>
        <v>0</v>
      </c>
      <c r="G219" s="168">
        <f>'POSEBNI DIO'!E183</f>
        <v>0</v>
      </c>
      <c r="H219" s="168" t="e">
        <f t="shared" si="19"/>
        <v>#DIV/0!</v>
      </c>
      <c r="I219" s="182" t="e">
        <f t="shared" si="20"/>
        <v>#DIV/0!</v>
      </c>
    </row>
    <row r="220" spans="1:9" s="176" customFormat="1" ht="12" x14ac:dyDescent="0.3">
      <c r="A220" s="187"/>
      <c r="B220" s="188">
        <v>3299</v>
      </c>
      <c r="C220" s="546"/>
      <c r="D220" s="188" t="s">
        <v>191</v>
      </c>
      <c r="E220" s="167">
        <f>SUM(E221:E226)</f>
        <v>28723.159999999996</v>
      </c>
      <c r="F220" s="167">
        <f t="shared" ref="F220:G220" si="97">SUM(F221:F226)</f>
        <v>38420</v>
      </c>
      <c r="G220" s="167">
        <f t="shared" si="97"/>
        <v>10622.619999999999</v>
      </c>
      <c r="H220" s="167">
        <f t="shared" si="19"/>
        <v>36.982769305327132</v>
      </c>
      <c r="I220" s="175">
        <f t="shared" si="20"/>
        <v>27.64867256637168</v>
      </c>
    </row>
    <row r="221" spans="1:9" s="183" customFormat="1" ht="12" x14ac:dyDescent="0.3">
      <c r="A221" s="177"/>
      <c r="B221" s="178"/>
      <c r="C221" s="485" t="s">
        <v>99</v>
      </c>
      <c r="D221" s="179" t="s">
        <v>16</v>
      </c>
      <c r="E221" s="168">
        <f>'POSEBNI DIO'!C38</f>
        <v>0</v>
      </c>
      <c r="F221" s="168">
        <f>'POSEBNI DIO'!D38</f>
        <v>0</v>
      </c>
      <c r="G221" s="168">
        <f>'POSEBNI DIO'!E38</f>
        <v>300</v>
      </c>
      <c r="H221" s="168" t="e">
        <f t="shared" si="19"/>
        <v>#DIV/0!</v>
      </c>
      <c r="I221" s="182" t="e">
        <f t="shared" si="20"/>
        <v>#DIV/0!</v>
      </c>
    </row>
    <row r="222" spans="1:9" s="183" customFormat="1" ht="12" x14ac:dyDescent="0.3">
      <c r="A222" s="177"/>
      <c r="B222" s="178"/>
      <c r="C222" s="485" t="s">
        <v>100</v>
      </c>
      <c r="D222" s="190" t="s">
        <v>101</v>
      </c>
      <c r="E222" s="168">
        <f>'POSEBNI DIO'!C116+'POSEBNI DIO'!C328</f>
        <v>2138.6799999999998</v>
      </c>
      <c r="F222" s="168">
        <f>'POSEBNI DIO'!D116+'POSEBNI DIO'!D328</f>
        <v>2220</v>
      </c>
      <c r="G222" s="168">
        <f>'POSEBNI DIO'!E116+'POSEBNI DIO'!E328</f>
        <v>294.91000000000003</v>
      </c>
      <c r="H222" s="168">
        <f t="shared" si="19"/>
        <v>13.789346699833544</v>
      </c>
      <c r="I222" s="182">
        <f t="shared" si="20"/>
        <v>13.284234234234235</v>
      </c>
    </row>
    <row r="223" spans="1:9" s="183" customFormat="1" ht="12" x14ac:dyDescent="0.3">
      <c r="A223" s="177"/>
      <c r="B223" s="178"/>
      <c r="C223" s="485" t="s">
        <v>90</v>
      </c>
      <c r="D223" s="180" t="s">
        <v>91</v>
      </c>
      <c r="E223" s="168">
        <f>'POSEBNI DIO'!C140</f>
        <v>642.51</v>
      </c>
      <c r="F223" s="168">
        <f>'POSEBNI DIO'!D140</f>
        <v>1700</v>
      </c>
      <c r="G223" s="168">
        <f>'POSEBNI DIO'!E140</f>
        <v>0</v>
      </c>
      <c r="H223" s="168">
        <f t="shared" si="19"/>
        <v>0</v>
      </c>
      <c r="I223" s="182">
        <f t="shared" si="20"/>
        <v>0</v>
      </c>
    </row>
    <row r="224" spans="1:9" s="183" customFormat="1" ht="12" x14ac:dyDescent="0.3">
      <c r="A224" s="177"/>
      <c r="B224" s="178"/>
      <c r="C224" s="485" t="s">
        <v>327</v>
      </c>
      <c r="D224" s="180" t="s">
        <v>87</v>
      </c>
      <c r="E224" s="168">
        <f>'POSEBNI DIO'!C184+'POSEBNI DIO'!C412</f>
        <v>3587.69</v>
      </c>
      <c r="F224" s="168">
        <f>'POSEBNI DIO'!D184+'POSEBNI DIO'!D412</f>
        <v>5000</v>
      </c>
      <c r="G224" s="168">
        <f>'POSEBNI DIO'!E184+'POSEBNI DIO'!E412</f>
        <v>10027.709999999999</v>
      </c>
      <c r="H224" s="168">
        <f t="shared" si="19"/>
        <v>279.50324582112722</v>
      </c>
      <c r="I224" s="182">
        <f t="shared" si="20"/>
        <v>200.55419999999998</v>
      </c>
    </row>
    <row r="225" spans="1:9" s="183" customFormat="1" ht="12" x14ac:dyDescent="0.3">
      <c r="A225" s="177"/>
      <c r="B225" s="178"/>
      <c r="C225" s="485" t="s">
        <v>331</v>
      </c>
      <c r="D225" s="180" t="s">
        <v>88</v>
      </c>
      <c r="E225" s="168">
        <f>'POSEBNI DIO'!C223</f>
        <v>21942.28</v>
      </c>
      <c r="F225" s="168">
        <f>'POSEBNI DIO'!D223</f>
        <v>29500</v>
      </c>
      <c r="G225" s="168">
        <f>'POSEBNI DIO'!E223</f>
        <v>0</v>
      </c>
      <c r="H225" s="168">
        <f t="shared" si="19"/>
        <v>0</v>
      </c>
      <c r="I225" s="182">
        <f t="shared" si="20"/>
        <v>0</v>
      </c>
    </row>
    <row r="226" spans="1:9" s="183" customFormat="1" ht="12" x14ac:dyDescent="0.3">
      <c r="A226" s="177"/>
      <c r="B226" s="188"/>
      <c r="C226" s="485" t="s">
        <v>86</v>
      </c>
      <c r="D226" s="180" t="s">
        <v>93</v>
      </c>
      <c r="E226" s="168">
        <f>'POSEBNI DIO'!C268</f>
        <v>412</v>
      </c>
      <c r="F226" s="168">
        <f>'POSEBNI DIO'!D250</f>
        <v>0</v>
      </c>
      <c r="G226" s="168">
        <f>'POSEBNI DIO'!E250</f>
        <v>0</v>
      </c>
      <c r="H226" s="168">
        <f t="shared" si="19"/>
        <v>0</v>
      </c>
      <c r="I226" s="182" t="e">
        <f t="shared" si="20"/>
        <v>#DIV/0!</v>
      </c>
    </row>
    <row r="227" spans="1:9" s="27" customFormat="1" x14ac:dyDescent="0.3">
      <c r="A227" s="35"/>
      <c r="B227" s="11">
        <v>34</v>
      </c>
      <c r="C227" s="473"/>
      <c r="D227" s="11" t="s">
        <v>109</v>
      </c>
      <c r="E227" s="60">
        <f t="shared" ref="E227:G227" si="98">E228</f>
        <v>273.52999999999997</v>
      </c>
      <c r="F227" s="60">
        <f t="shared" si="98"/>
        <v>0</v>
      </c>
      <c r="G227" s="60">
        <f t="shared" si="98"/>
        <v>0</v>
      </c>
      <c r="H227" s="60">
        <f t="shared" si="19"/>
        <v>0</v>
      </c>
      <c r="I227" s="72" t="e">
        <f t="shared" si="20"/>
        <v>#DIV/0!</v>
      </c>
    </row>
    <row r="228" spans="1:9" s="27" customFormat="1" x14ac:dyDescent="0.3">
      <c r="A228" s="35"/>
      <c r="B228" s="11">
        <v>343</v>
      </c>
      <c r="C228" s="473"/>
      <c r="D228" s="11" t="s">
        <v>159</v>
      </c>
      <c r="E228" s="60">
        <f t="shared" ref="E228" si="99">E229+E232</f>
        <v>273.52999999999997</v>
      </c>
      <c r="F228" s="60">
        <f t="shared" ref="F228:G228" si="100">F229+F232</f>
        <v>0</v>
      </c>
      <c r="G228" s="60">
        <f t="shared" si="100"/>
        <v>0</v>
      </c>
      <c r="H228" s="60">
        <f t="shared" si="19"/>
        <v>0</v>
      </c>
      <c r="I228" s="72" t="e">
        <f t="shared" si="20"/>
        <v>#DIV/0!</v>
      </c>
    </row>
    <row r="229" spans="1:9" s="176" customFormat="1" ht="12" x14ac:dyDescent="0.3">
      <c r="A229" s="187"/>
      <c r="B229" s="188">
        <v>3431</v>
      </c>
      <c r="C229" s="546"/>
      <c r="D229" s="188" t="s">
        <v>139</v>
      </c>
      <c r="E229" s="167">
        <f t="shared" ref="E229" si="101">SUM(E230:E231)</f>
        <v>273.52999999999997</v>
      </c>
      <c r="F229" s="167">
        <f t="shared" ref="F229:G229" si="102">SUM(F230:F231)</f>
        <v>0</v>
      </c>
      <c r="G229" s="167">
        <f t="shared" si="102"/>
        <v>0</v>
      </c>
      <c r="H229" s="167">
        <f t="shared" si="19"/>
        <v>0</v>
      </c>
      <c r="I229" s="175" t="e">
        <f t="shared" si="20"/>
        <v>#DIV/0!</v>
      </c>
    </row>
    <row r="230" spans="1:9" s="183" customFormat="1" ht="12" x14ac:dyDescent="0.3">
      <c r="A230" s="177"/>
      <c r="B230" s="178"/>
      <c r="C230" s="485" t="s">
        <v>100</v>
      </c>
      <c r="D230" s="190" t="s">
        <v>101</v>
      </c>
      <c r="E230" s="168">
        <f>'POSEBNI DIO'!C119</f>
        <v>273.52999999999997</v>
      </c>
      <c r="F230" s="168">
        <f>'POSEBNI DIO'!D119</f>
        <v>0</v>
      </c>
      <c r="G230" s="168">
        <f>'POSEBNI DIO'!E119</f>
        <v>0</v>
      </c>
      <c r="H230" s="168">
        <f t="shared" si="19"/>
        <v>0</v>
      </c>
      <c r="I230" s="182" t="e">
        <f t="shared" si="20"/>
        <v>#DIV/0!</v>
      </c>
    </row>
    <row r="231" spans="1:9" s="183" customFormat="1" ht="12" x14ac:dyDescent="0.3">
      <c r="A231" s="177"/>
      <c r="B231" s="178"/>
      <c r="C231" s="485" t="s">
        <v>90</v>
      </c>
      <c r="D231" s="180" t="s">
        <v>91</v>
      </c>
      <c r="E231" s="168">
        <f>'POSEBNI DIO'!C143</f>
        <v>0</v>
      </c>
      <c r="F231" s="168">
        <f>'POSEBNI DIO'!D143</f>
        <v>0</v>
      </c>
      <c r="G231" s="168">
        <f>'POSEBNI DIO'!E143</f>
        <v>0</v>
      </c>
      <c r="H231" s="168" t="e">
        <f t="shared" si="19"/>
        <v>#DIV/0!</v>
      </c>
      <c r="I231" s="182" t="e">
        <f t="shared" si="20"/>
        <v>#DIV/0!</v>
      </c>
    </row>
    <row r="232" spans="1:9" s="176" customFormat="1" ht="12" x14ac:dyDescent="0.3">
      <c r="A232" s="187"/>
      <c r="B232" s="188">
        <v>3433</v>
      </c>
      <c r="C232" s="546"/>
      <c r="D232" s="188" t="s">
        <v>140</v>
      </c>
      <c r="E232" s="167">
        <f t="shared" ref="E232" si="103">SUM(E233:E234)</f>
        <v>0</v>
      </c>
      <c r="F232" s="167">
        <f t="shared" ref="F232:G232" si="104">SUM(F233:F234)</f>
        <v>0</v>
      </c>
      <c r="G232" s="167">
        <f t="shared" si="104"/>
        <v>0</v>
      </c>
      <c r="H232" s="167" t="e">
        <f t="shared" si="19"/>
        <v>#DIV/0!</v>
      </c>
      <c r="I232" s="175" t="e">
        <f t="shared" si="20"/>
        <v>#DIV/0!</v>
      </c>
    </row>
    <row r="233" spans="1:9" s="183" customFormat="1" ht="12" x14ac:dyDescent="0.3">
      <c r="A233" s="177"/>
      <c r="B233" s="178"/>
      <c r="C233" s="485" t="s">
        <v>100</v>
      </c>
      <c r="D233" s="190" t="s">
        <v>101</v>
      </c>
      <c r="E233" s="168">
        <f>'POSEBNI DIO'!C120</f>
        <v>0</v>
      </c>
      <c r="F233" s="168">
        <f>'POSEBNI DIO'!D120</f>
        <v>0</v>
      </c>
      <c r="G233" s="168">
        <f>'POSEBNI DIO'!E120</f>
        <v>0</v>
      </c>
      <c r="H233" s="168" t="e">
        <f t="shared" si="19"/>
        <v>#DIV/0!</v>
      </c>
      <c r="I233" s="182" t="e">
        <f t="shared" si="20"/>
        <v>#DIV/0!</v>
      </c>
    </row>
    <row r="234" spans="1:9" s="183" customFormat="1" ht="12" x14ac:dyDescent="0.3">
      <c r="A234" s="177"/>
      <c r="B234" s="178"/>
      <c r="C234" s="485" t="s">
        <v>327</v>
      </c>
      <c r="D234" s="180" t="s">
        <v>87</v>
      </c>
      <c r="E234" s="168">
        <f>'POSEBNI DIO'!C187</f>
        <v>0</v>
      </c>
      <c r="F234" s="168">
        <f>'POSEBNI DIO'!D187</f>
        <v>0</v>
      </c>
      <c r="G234" s="168">
        <f>'POSEBNI DIO'!E187</f>
        <v>0</v>
      </c>
      <c r="H234" s="168" t="e">
        <f t="shared" si="19"/>
        <v>#DIV/0!</v>
      </c>
      <c r="I234" s="182" t="e">
        <f t="shared" si="20"/>
        <v>#DIV/0!</v>
      </c>
    </row>
    <row r="235" spans="1:9" s="27" customFormat="1" x14ac:dyDescent="0.3">
      <c r="A235" s="35"/>
      <c r="B235" s="11">
        <v>37</v>
      </c>
      <c r="C235" s="473"/>
      <c r="D235" s="186" t="s">
        <v>63</v>
      </c>
      <c r="E235" s="60">
        <f t="shared" ref="E235:G237" si="105">E236</f>
        <v>0</v>
      </c>
      <c r="F235" s="60">
        <f t="shared" si="105"/>
        <v>0</v>
      </c>
      <c r="G235" s="60">
        <f t="shared" si="105"/>
        <v>0</v>
      </c>
      <c r="H235" s="60" t="e">
        <f t="shared" si="19"/>
        <v>#DIV/0!</v>
      </c>
      <c r="I235" s="72" t="e">
        <f t="shared" si="20"/>
        <v>#DIV/0!</v>
      </c>
    </row>
    <row r="236" spans="1:9" s="27" customFormat="1" x14ac:dyDescent="0.3">
      <c r="A236" s="35"/>
      <c r="B236" s="11">
        <v>372</v>
      </c>
      <c r="C236" s="473"/>
      <c r="D236" s="186" t="s">
        <v>192</v>
      </c>
      <c r="E236" s="60">
        <f t="shared" si="105"/>
        <v>0</v>
      </c>
      <c r="F236" s="60">
        <f t="shared" si="105"/>
        <v>0</v>
      </c>
      <c r="G236" s="60">
        <f t="shared" si="105"/>
        <v>0</v>
      </c>
      <c r="H236" s="60" t="e">
        <f t="shared" si="19"/>
        <v>#DIV/0!</v>
      </c>
      <c r="I236" s="72" t="e">
        <f t="shared" si="20"/>
        <v>#DIV/0!</v>
      </c>
    </row>
    <row r="237" spans="1:9" s="176" customFormat="1" ht="12" x14ac:dyDescent="0.3">
      <c r="A237" s="187"/>
      <c r="B237" s="188">
        <v>3722</v>
      </c>
      <c r="C237" s="546"/>
      <c r="D237" s="189" t="s">
        <v>193</v>
      </c>
      <c r="E237" s="167">
        <f t="shared" si="105"/>
        <v>0</v>
      </c>
      <c r="F237" s="167">
        <f t="shared" si="105"/>
        <v>0</v>
      </c>
      <c r="G237" s="167">
        <f t="shared" si="105"/>
        <v>0</v>
      </c>
      <c r="H237" s="167" t="e">
        <f t="shared" si="19"/>
        <v>#DIV/0!</v>
      </c>
      <c r="I237" s="175" t="e">
        <f t="shared" si="20"/>
        <v>#DIV/0!</v>
      </c>
    </row>
    <row r="238" spans="1:9" s="183" customFormat="1" ht="12" x14ac:dyDescent="0.3">
      <c r="A238" s="177"/>
      <c r="B238" s="178"/>
      <c r="C238" s="485" t="s">
        <v>327</v>
      </c>
      <c r="D238" s="180" t="s">
        <v>87</v>
      </c>
      <c r="E238" s="168">
        <f>'POSEBNI DIO'!C190</f>
        <v>0</v>
      </c>
      <c r="F238" s="168">
        <f>'POSEBNI DIO'!D190</f>
        <v>0</v>
      </c>
      <c r="G238" s="168">
        <f>'POSEBNI DIO'!E190</f>
        <v>0</v>
      </c>
      <c r="H238" s="168" t="e">
        <f t="shared" si="19"/>
        <v>#DIV/0!</v>
      </c>
      <c r="I238" s="182" t="e">
        <f t="shared" si="20"/>
        <v>#DIV/0!</v>
      </c>
    </row>
    <row r="239" spans="1:9" s="27" customFormat="1" x14ac:dyDescent="0.3">
      <c r="A239" s="35"/>
      <c r="B239" s="11">
        <v>38</v>
      </c>
      <c r="C239" s="473"/>
      <c r="D239" s="186" t="s">
        <v>174</v>
      </c>
      <c r="E239" s="60">
        <f t="shared" ref="E239:G240" si="106">E240</f>
        <v>0</v>
      </c>
      <c r="F239" s="60">
        <f t="shared" si="106"/>
        <v>0</v>
      </c>
      <c r="G239" s="60">
        <f t="shared" si="106"/>
        <v>0</v>
      </c>
      <c r="H239" s="60" t="e">
        <f t="shared" si="19"/>
        <v>#DIV/0!</v>
      </c>
      <c r="I239" s="72" t="e">
        <f t="shared" si="20"/>
        <v>#DIV/0!</v>
      </c>
    </row>
    <row r="240" spans="1:9" s="27" customFormat="1" x14ac:dyDescent="0.3">
      <c r="A240" s="35"/>
      <c r="B240" s="11">
        <v>381</v>
      </c>
      <c r="C240" s="473"/>
      <c r="D240" s="186" t="s">
        <v>117</v>
      </c>
      <c r="E240" s="60">
        <f t="shared" si="106"/>
        <v>0</v>
      </c>
      <c r="F240" s="60">
        <f t="shared" si="106"/>
        <v>0</v>
      </c>
      <c r="G240" s="60">
        <f t="shared" si="106"/>
        <v>0</v>
      </c>
      <c r="H240" s="60" t="e">
        <f t="shared" si="19"/>
        <v>#DIV/0!</v>
      </c>
      <c r="I240" s="72" t="e">
        <f t="shared" si="20"/>
        <v>#DIV/0!</v>
      </c>
    </row>
    <row r="241" spans="1:9" s="176" customFormat="1" ht="12" x14ac:dyDescent="0.3">
      <c r="A241" s="187"/>
      <c r="B241" s="188">
        <v>3812</v>
      </c>
      <c r="C241" s="546"/>
      <c r="D241" s="189" t="s">
        <v>194</v>
      </c>
      <c r="E241" s="167">
        <f>E243+E242</f>
        <v>0</v>
      </c>
      <c r="F241" s="167">
        <f t="shared" ref="F241:G241" si="107">F243+F242</f>
        <v>0</v>
      </c>
      <c r="G241" s="167">
        <f t="shared" si="107"/>
        <v>0</v>
      </c>
      <c r="H241" s="167" t="e">
        <f t="shared" si="19"/>
        <v>#DIV/0!</v>
      </c>
      <c r="I241" s="175" t="e">
        <f t="shared" si="20"/>
        <v>#DIV/0!</v>
      </c>
    </row>
    <row r="242" spans="1:9" s="183" customFormat="1" ht="12" x14ac:dyDescent="0.3">
      <c r="A242" s="177"/>
      <c r="B242" s="178"/>
      <c r="C242" s="485" t="s">
        <v>90</v>
      </c>
      <c r="D242" s="180" t="s">
        <v>91</v>
      </c>
      <c r="E242" s="168">
        <f>'POSEBNI DIO'!C146</f>
        <v>0</v>
      </c>
      <c r="F242" s="168">
        <f>'POSEBNI DIO'!D146</f>
        <v>0</v>
      </c>
      <c r="G242" s="168">
        <f>'POSEBNI DIO'!E146</f>
        <v>0</v>
      </c>
      <c r="H242" s="168" t="e">
        <f t="shared" ref="H242" si="108">G242/E242*100</f>
        <v>#DIV/0!</v>
      </c>
      <c r="I242" s="182" t="e">
        <f t="shared" ref="I242" si="109">G242/F242*100</f>
        <v>#DIV/0!</v>
      </c>
    </row>
    <row r="243" spans="1:9" s="183" customFormat="1" ht="12" x14ac:dyDescent="0.3">
      <c r="A243" s="177"/>
      <c r="B243" s="178"/>
      <c r="C243" s="485" t="s">
        <v>327</v>
      </c>
      <c r="D243" s="180" t="s">
        <v>87</v>
      </c>
      <c r="E243" s="168">
        <f>'POSEBNI DIO'!C193</f>
        <v>0</v>
      </c>
      <c r="F243" s="168">
        <f>'POSEBNI DIO'!D193</f>
        <v>0</v>
      </c>
      <c r="G243" s="168">
        <f>'POSEBNI DIO'!E193</f>
        <v>0</v>
      </c>
      <c r="H243" s="168" t="e">
        <f t="shared" si="19"/>
        <v>#DIV/0!</v>
      </c>
      <c r="I243" s="182" t="e">
        <f t="shared" si="20"/>
        <v>#DIV/0!</v>
      </c>
    </row>
    <row r="244" spans="1:9" s="27" customFormat="1" x14ac:dyDescent="0.3">
      <c r="A244" s="30">
        <v>4</v>
      </c>
      <c r="B244" s="6"/>
      <c r="C244" s="478"/>
      <c r="D244" s="10" t="s">
        <v>22</v>
      </c>
      <c r="E244" s="60">
        <f t="shared" ref="E244" si="110">E245+E285</f>
        <v>53719.1</v>
      </c>
      <c r="F244" s="60">
        <f t="shared" ref="F244:G244" si="111">F245+F285</f>
        <v>102300</v>
      </c>
      <c r="G244" s="60">
        <f t="shared" si="111"/>
        <v>4800.0599999999995</v>
      </c>
      <c r="H244" s="60">
        <f t="shared" si="19"/>
        <v>8.9354810486400549</v>
      </c>
      <c r="I244" s="72">
        <f t="shared" si="20"/>
        <v>4.6921407624633424</v>
      </c>
    </row>
    <row r="245" spans="1:9" s="27" customFormat="1" x14ac:dyDescent="0.3">
      <c r="A245" s="20"/>
      <c r="B245" s="5">
        <v>42</v>
      </c>
      <c r="C245" s="474"/>
      <c r="D245" s="10" t="s">
        <v>110</v>
      </c>
      <c r="E245" s="60">
        <f t="shared" ref="E245" si="112">E246+E273+E280</f>
        <v>53719.1</v>
      </c>
      <c r="F245" s="60">
        <f t="shared" ref="F245:G245" si="113">F246+F273+F280</f>
        <v>52300</v>
      </c>
      <c r="G245" s="60">
        <f t="shared" si="113"/>
        <v>4800.0599999999995</v>
      </c>
      <c r="H245" s="60">
        <f t="shared" si="19"/>
        <v>8.9354810486400549</v>
      </c>
      <c r="I245" s="72">
        <f t="shared" si="20"/>
        <v>9.1779349904397698</v>
      </c>
    </row>
    <row r="246" spans="1:9" s="27" customFormat="1" x14ac:dyDescent="0.3">
      <c r="A246" s="20"/>
      <c r="B246" s="5">
        <v>422</v>
      </c>
      <c r="C246" s="474"/>
      <c r="D246" s="10" t="s">
        <v>153</v>
      </c>
      <c r="E246" s="60">
        <f t="shared" ref="E246" si="114">E247+E257+E260+E265</f>
        <v>36644.22</v>
      </c>
      <c r="F246" s="60">
        <f t="shared" ref="F246:G246" si="115">F247+F257+F260+F265</f>
        <v>37100</v>
      </c>
      <c r="G246" s="60">
        <f t="shared" si="115"/>
        <v>4800.0599999999995</v>
      </c>
      <c r="H246" s="60">
        <f t="shared" si="19"/>
        <v>13.099091753078657</v>
      </c>
      <c r="I246" s="72">
        <f t="shared" si="20"/>
        <v>12.938167115902962</v>
      </c>
    </row>
    <row r="247" spans="1:9" s="176" customFormat="1" ht="12.75" customHeight="1" x14ac:dyDescent="0.3">
      <c r="A247" s="171"/>
      <c r="B247" s="172">
        <v>4221</v>
      </c>
      <c r="C247" s="475"/>
      <c r="D247" s="191" t="s">
        <v>157</v>
      </c>
      <c r="E247" s="167">
        <f>SUM(E248:E256)</f>
        <v>7475.1</v>
      </c>
      <c r="F247" s="167">
        <f t="shared" ref="F247:G247" si="116">SUM(F248:F255)</f>
        <v>31100</v>
      </c>
      <c r="G247" s="167">
        <f t="shared" si="116"/>
        <v>0</v>
      </c>
      <c r="H247" s="167">
        <f t="shared" si="19"/>
        <v>0</v>
      </c>
      <c r="I247" s="175">
        <f t="shared" si="20"/>
        <v>0</v>
      </c>
    </row>
    <row r="248" spans="1:9" s="183" customFormat="1" ht="12" x14ac:dyDescent="0.3">
      <c r="A248" s="192"/>
      <c r="B248" s="193"/>
      <c r="C248" s="485" t="s">
        <v>99</v>
      </c>
      <c r="D248" s="179" t="s">
        <v>16</v>
      </c>
      <c r="E248" s="168">
        <f>'POSEBNI DIO'!C316</f>
        <v>0</v>
      </c>
      <c r="F248" s="168">
        <f>'POSEBNI DIO'!D316</f>
        <v>0</v>
      </c>
      <c r="G248" s="168">
        <f>'POSEBNI DIO'!E316</f>
        <v>0</v>
      </c>
      <c r="H248" s="168"/>
      <c r="I248" s="182"/>
    </row>
    <row r="249" spans="1:9" s="463" customFormat="1" ht="12" x14ac:dyDescent="0.3">
      <c r="A249" s="459"/>
      <c r="B249" s="190"/>
      <c r="C249" s="471" t="s">
        <v>100</v>
      </c>
      <c r="D249" s="550" t="s">
        <v>101</v>
      </c>
      <c r="E249" s="551">
        <f>'POSEBNI DIO'!C332</f>
        <v>0</v>
      </c>
      <c r="F249" s="551">
        <f>'POSEBNI DIO'!D332</f>
        <v>30000</v>
      </c>
      <c r="G249" s="551">
        <f>'POSEBNI DIO'!E332</f>
        <v>0</v>
      </c>
      <c r="H249" s="551" t="e">
        <f t="shared" ref="H249" si="117">G249/E249*100</f>
        <v>#DIV/0!</v>
      </c>
      <c r="I249" s="462">
        <f t="shared" ref="I249" si="118">G249/F249*100</f>
        <v>0</v>
      </c>
    </row>
    <row r="250" spans="1:9" s="183" customFormat="1" ht="12.75" customHeight="1" x14ac:dyDescent="0.3">
      <c r="A250" s="206"/>
      <c r="B250" s="207"/>
      <c r="C250" s="485" t="s">
        <v>90</v>
      </c>
      <c r="D250" s="180" t="s">
        <v>91</v>
      </c>
      <c r="E250" s="208">
        <f>'POSEBNI DIO'!C150</f>
        <v>0</v>
      </c>
      <c r="F250" s="208">
        <f>'POSEBNI DIO'!D150</f>
        <v>1000</v>
      </c>
      <c r="G250" s="208">
        <f>'POSEBNI DIO'!E150</f>
        <v>0</v>
      </c>
      <c r="H250" s="208" t="e">
        <f t="shared" si="19"/>
        <v>#DIV/0!</v>
      </c>
      <c r="I250" s="209">
        <f t="shared" si="20"/>
        <v>0</v>
      </c>
    </row>
    <row r="251" spans="1:9" s="183" customFormat="1" ht="12" x14ac:dyDescent="0.3">
      <c r="A251" s="206"/>
      <c r="B251" s="207"/>
      <c r="C251" s="485" t="s">
        <v>86</v>
      </c>
      <c r="D251" s="180" t="s">
        <v>93</v>
      </c>
      <c r="E251" s="208">
        <f>'POSEBNI DIO'!C48+'POSEBNI DIO'!C296</f>
        <v>0</v>
      </c>
      <c r="F251" s="208">
        <f>'POSEBNI DIO'!D48+'POSEBNI DIO'!D296</f>
        <v>0</v>
      </c>
      <c r="G251" s="208">
        <f>'POSEBNI DIO'!E48+'POSEBNI DIO'!E296</f>
        <v>0</v>
      </c>
      <c r="H251" s="208" t="e">
        <f t="shared" si="19"/>
        <v>#DIV/0!</v>
      </c>
      <c r="I251" s="209" t="e">
        <f t="shared" si="20"/>
        <v>#DIV/0!</v>
      </c>
    </row>
    <row r="252" spans="1:9" s="214" customFormat="1" ht="12" x14ac:dyDescent="0.25">
      <c r="A252" s="210"/>
      <c r="B252" s="211"/>
      <c r="C252" s="485" t="s">
        <v>331</v>
      </c>
      <c r="D252" s="180" t="s">
        <v>88</v>
      </c>
      <c r="E252" s="212">
        <f>'POSEBNI DIO'!C76+'POSEBNI DIO'!C227</f>
        <v>5272.5</v>
      </c>
      <c r="F252" s="212">
        <f>'POSEBNI DIO'!D76+'POSEBNI DIO'!D227</f>
        <v>0</v>
      </c>
      <c r="G252" s="212">
        <f>'POSEBNI DIO'!E76+'POSEBNI DIO'!E227</f>
        <v>0</v>
      </c>
      <c r="H252" s="212">
        <f t="shared" si="19"/>
        <v>0</v>
      </c>
      <c r="I252" s="213" t="e">
        <f t="shared" si="20"/>
        <v>#DIV/0!</v>
      </c>
    </row>
    <row r="253" spans="1:9" s="214" customFormat="1" ht="12" x14ac:dyDescent="0.25">
      <c r="A253" s="210"/>
      <c r="B253" s="211"/>
      <c r="C253" s="485" t="s">
        <v>95</v>
      </c>
      <c r="D253" s="180" t="s">
        <v>96</v>
      </c>
      <c r="E253" s="212">
        <f>'POSEBNI DIO'!C254</f>
        <v>0</v>
      </c>
      <c r="F253" s="212">
        <f>'POSEBNI DIO'!D254</f>
        <v>100</v>
      </c>
      <c r="G253" s="212">
        <f>'POSEBNI DIO'!E254</f>
        <v>0</v>
      </c>
      <c r="H253" s="212" t="e">
        <f t="shared" ref="H253:H254" si="119">G253/E253*100</f>
        <v>#DIV/0!</v>
      </c>
      <c r="I253" s="213">
        <f t="shared" ref="I253:I254" si="120">G253/F253*100</f>
        <v>0</v>
      </c>
    </row>
    <row r="254" spans="1:9" s="214" customFormat="1" ht="12" x14ac:dyDescent="0.25">
      <c r="A254" s="210"/>
      <c r="B254" s="211"/>
      <c r="C254" s="549" t="s">
        <v>97</v>
      </c>
      <c r="D254" s="215" t="s">
        <v>98</v>
      </c>
      <c r="E254" s="212">
        <f>'POSEBNI DIO'!C262</f>
        <v>0</v>
      </c>
      <c r="F254" s="212">
        <f>'POSEBNI DIO'!D262</f>
        <v>0</v>
      </c>
      <c r="G254" s="212">
        <f>'POSEBNI DIO'!E262</f>
        <v>0</v>
      </c>
      <c r="H254" s="212" t="e">
        <f t="shared" si="119"/>
        <v>#DIV/0!</v>
      </c>
      <c r="I254" s="213" t="e">
        <f t="shared" si="120"/>
        <v>#DIV/0!</v>
      </c>
    </row>
    <row r="255" spans="1:9" s="183" customFormat="1" ht="12" x14ac:dyDescent="0.3">
      <c r="A255" s="177"/>
      <c r="B255" s="188"/>
      <c r="C255" s="485" t="s">
        <v>104</v>
      </c>
      <c r="D255" s="180" t="s">
        <v>105</v>
      </c>
      <c r="E255" s="168">
        <v>0</v>
      </c>
      <c r="F255" s="168">
        <f>'POSEBNI DIO'!D272</f>
        <v>0</v>
      </c>
      <c r="G255" s="168">
        <f>'POSEBNI DIO'!E272</f>
        <v>0</v>
      </c>
      <c r="H255" s="168" t="e">
        <f t="shared" si="19"/>
        <v>#DIV/0!</v>
      </c>
      <c r="I255" s="182" t="e">
        <f t="shared" si="20"/>
        <v>#DIV/0!</v>
      </c>
    </row>
    <row r="256" spans="1:9" s="183" customFormat="1" ht="12" x14ac:dyDescent="0.3">
      <c r="A256" s="177"/>
      <c r="B256" s="188"/>
      <c r="C256" s="485" t="s">
        <v>327</v>
      </c>
      <c r="D256" s="180" t="s">
        <v>87</v>
      </c>
      <c r="E256" s="168">
        <f>'POSEBNI DIO'!C419</f>
        <v>2202.6</v>
      </c>
      <c r="F256" s="168">
        <f>'POSEBNI DIO'!D419</f>
        <v>3000</v>
      </c>
      <c r="G256" s="168">
        <f>'POSEBNI DIO'!E419</f>
        <v>0</v>
      </c>
      <c r="H256" s="168"/>
      <c r="I256" s="182"/>
    </row>
    <row r="257" spans="1:9" s="176" customFormat="1" ht="12" x14ac:dyDescent="0.3">
      <c r="A257" s="171"/>
      <c r="B257" s="172">
        <v>4223</v>
      </c>
      <c r="C257" s="475"/>
      <c r="D257" s="191" t="s">
        <v>141</v>
      </c>
      <c r="E257" s="167">
        <f>SUM(E258:E259)</f>
        <v>0</v>
      </c>
      <c r="F257" s="167">
        <f t="shared" ref="F257:G257" si="121">SUM(F258:F259)</f>
        <v>0</v>
      </c>
      <c r="G257" s="167">
        <f t="shared" si="121"/>
        <v>0</v>
      </c>
      <c r="H257" s="167" t="e">
        <f t="shared" si="19"/>
        <v>#DIV/0!</v>
      </c>
      <c r="I257" s="175" t="e">
        <f t="shared" si="20"/>
        <v>#DIV/0!</v>
      </c>
    </row>
    <row r="258" spans="1:9" s="183" customFormat="1" ht="12" x14ac:dyDescent="0.3">
      <c r="A258" s="192"/>
      <c r="B258" s="193"/>
      <c r="C258" s="485" t="s">
        <v>90</v>
      </c>
      <c r="D258" s="180" t="s">
        <v>91</v>
      </c>
      <c r="E258" s="168">
        <f>'POSEBNI DIO'!C151</f>
        <v>0</v>
      </c>
      <c r="F258" s="168">
        <f>'POSEBNI DIO'!D151</f>
        <v>0</v>
      </c>
      <c r="G258" s="168">
        <f>'POSEBNI DIO'!E151</f>
        <v>0</v>
      </c>
      <c r="H258" s="167" t="e">
        <f t="shared" ref="H258" si="122">G258/E258*100</f>
        <v>#DIV/0!</v>
      </c>
      <c r="I258" s="175" t="e">
        <f t="shared" ref="I258" si="123">G258/F258*100</f>
        <v>#DIV/0!</v>
      </c>
    </row>
    <row r="259" spans="1:9" s="214" customFormat="1" ht="12" x14ac:dyDescent="0.25">
      <c r="A259" s="210"/>
      <c r="B259" s="211"/>
      <c r="C259" s="485" t="s">
        <v>331</v>
      </c>
      <c r="D259" s="180" t="s">
        <v>88</v>
      </c>
      <c r="E259" s="212">
        <f>'POSEBNI DIO'!C228</f>
        <v>0</v>
      </c>
      <c r="F259" s="212">
        <f>'POSEBNI DIO'!D228</f>
        <v>0</v>
      </c>
      <c r="G259" s="212">
        <f>'POSEBNI DIO'!E228</f>
        <v>0</v>
      </c>
      <c r="H259" s="212" t="e">
        <f t="shared" si="19"/>
        <v>#DIV/0!</v>
      </c>
      <c r="I259" s="213" t="e">
        <f t="shared" si="20"/>
        <v>#DIV/0!</v>
      </c>
    </row>
    <row r="260" spans="1:9" s="176" customFormat="1" ht="12" x14ac:dyDescent="0.3">
      <c r="A260" s="171"/>
      <c r="B260" s="172">
        <v>4226</v>
      </c>
      <c r="C260" s="475"/>
      <c r="D260" s="191" t="s">
        <v>143</v>
      </c>
      <c r="E260" s="167">
        <f>E261+E262+E263+E264</f>
        <v>28043.52</v>
      </c>
      <c r="F260" s="167">
        <f t="shared" ref="F260:G260" si="124">SUM(F261:F263)</f>
        <v>0</v>
      </c>
      <c r="G260" s="167">
        <f t="shared" si="124"/>
        <v>0</v>
      </c>
      <c r="H260" s="167">
        <f t="shared" si="19"/>
        <v>0</v>
      </c>
      <c r="I260" s="175" t="e">
        <f t="shared" si="20"/>
        <v>#DIV/0!</v>
      </c>
    </row>
    <row r="261" spans="1:9" s="183" customFormat="1" ht="12" x14ac:dyDescent="0.3">
      <c r="A261" s="192"/>
      <c r="B261" s="193"/>
      <c r="C261" s="485" t="s">
        <v>99</v>
      </c>
      <c r="D261" s="179" t="s">
        <v>16</v>
      </c>
      <c r="E261" s="168">
        <f>'POSEBNI DIO'!C42</f>
        <v>0</v>
      </c>
      <c r="F261" s="168">
        <f>'POSEBNI DIO'!D42</f>
        <v>0</v>
      </c>
      <c r="G261" s="168">
        <f>'POSEBNI DIO'!E42</f>
        <v>0</v>
      </c>
      <c r="H261" s="168" t="e">
        <f t="shared" si="19"/>
        <v>#DIV/0!</v>
      </c>
      <c r="I261" s="182" t="e">
        <f t="shared" si="20"/>
        <v>#DIV/0!</v>
      </c>
    </row>
    <row r="262" spans="1:9" s="183" customFormat="1" ht="12" x14ac:dyDescent="0.3">
      <c r="A262" s="192"/>
      <c r="B262" s="193"/>
      <c r="C262" s="485" t="s">
        <v>86</v>
      </c>
      <c r="D262" s="179" t="s">
        <v>93</v>
      </c>
      <c r="E262" s="168">
        <f>'POSEBNI DIO'!C297</f>
        <v>0</v>
      </c>
      <c r="F262" s="168">
        <f>'POSEBNI DIO'!D297</f>
        <v>0</v>
      </c>
      <c r="G262" s="168">
        <f>'POSEBNI DIO'!E297</f>
        <v>0</v>
      </c>
      <c r="H262" s="168" t="e">
        <f t="shared" ref="H262" si="125">G262/E262*100</f>
        <v>#DIV/0!</v>
      </c>
      <c r="I262" s="182" t="e">
        <f t="shared" ref="I262" si="126">G262/F262*100</f>
        <v>#DIV/0!</v>
      </c>
    </row>
    <row r="263" spans="1:9" s="183" customFormat="1" ht="12" x14ac:dyDescent="0.3">
      <c r="A263" s="192"/>
      <c r="B263" s="193"/>
      <c r="C263" s="485" t="s">
        <v>331</v>
      </c>
      <c r="D263" s="180" t="s">
        <v>88</v>
      </c>
      <c r="E263" s="168">
        <f>'POSEBNI DIO'!C229</f>
        <v>0</v>
      </c>
      <c r="F263" s="168">
        <f>'POSEBNI DIO'!D229</f>
        <v>0</v>
      </c>
      <c r="G263" s="168">
        <f>'POSEBNI DIO'!E229</f>
        <v>0</v>
      </c>
      <c r="H263" s="168" t="e">
        <f t="shared" ref="H263" si="127">G263/E263*100</f>
        <v>#DIV/0!</v>
      </c>
      <c r="I263" s="182" t="e">
        <f t="shared" ref="I263" si="128">G263/F263*100</f>
        <v>#DIV/0!</v>
      </c>
    </row>
    <row r="264" spans="1:9" s="183" customFormat="1" ht="12" x14ac:dyDescent="0.3">
      <c r="A264" s="192"/>
      <c r="B264" s="193"/>
      <c r="C264" s="485" t="s">
        <v>327</v>
      </c>
      <c r="D264" s="180" t="s">
        <v>87</v>
      </c>
      <c r="E264" s="168">
        <v>28043.52</v>
      </c>
      <c r="F264" s="168">
        <f>'POSEBNI DIO'!D197</f>
        <v>0</v>
      </c>
      <c r="G264" s="168">
        <f>'POSEBNI DIO'!E197</f>
        <v>0</v>
      </c>
      <c r="H264" s="168"/>
      <c r="I264" s="182"/>
    </row>
    <row r="265" spans="1:9" s="176" customFormat="1" ht="12" x14ac:dyDescent="0.3">
      <c r="A265" s="171"/>
      <c r="B265" s="172">
        <v>4227</v>
      </c>
      <c r="C265" s="475"/>
      <c r="D265" s="191" t="s">
        <v>145</v>
      </c>
      <c r="E265" s="167">
        <f t="shared" ref="E265" si="129">SUM(E266:E272)</f>
        <v>1125.5999999999999</v>
      </c>
      <c r="F265" s="167">
        <f t="shared" ref="F265:G265" si="130">SUM(F266:F272)</f>
        <v>6000</v>
      </c>
      <c r="G265" s="167">
        <f t="shared" si="130"/>
        <v>4800.0599999999995</v>
      </c>
      <c r="H265" s="167">
        <f t="shared" si="19"/>
        <v>426.44456289978672</v>
      </c>
      <c r="I265" s="175">
        <f t="shared" si="20"/>
        <v>80.000999999999991</v>
      </c>
    </row>
    <row r="266" spans="1:9" s="183" customFormat="1" ht="12" x14ac:dyDescent="0.3">
      <c r="A266" s="177"/>
      <c r="B266" s="178"/>
      <c r="C266" s="485" t="s">
        <v>100</v>
      </c>
      <c r="D266" s="190" t="s">
        <v>101</v>
      </c>
      <c r="E266" s="168">
        <f>'POSEBNI DIO'!C333</f>
        <v>1125.5999999999999</v>
      </c>
      <c r="F266" s="168">
        <f>'POSEBNI DIO'!D333</f>
        <v>5000</v>
      </c>
      <c r="G266" s="168">
        <f>'POSEBNI DIO'!E333</f>
        <v>3712.56</v>
      </c>
      <c r="H266" s="168">
        <f t="shared" si="19"/>
        <v>329.82942430703628</v>
      </c>
      <c r="I266" s="182">
        <f t="shared" si="20"/>
        <v>74.251199999999997</v>
      </c>
    </row>
    <row r="267" spans="1:9" s="183" customFormat="1" ht="12" x14ac:dyDescent="0.3">
      <c r="A267" s="206"/>
      <c r="B267" s="207"/>
      <c r="C267" s="485" t="s">
        <v>90</v>
      </c>
      <c r="D267" s="180" t="s">
        <v>91</v>
      </c>
      <c r="E267" s="208">
        <f>'POSEBNI DIO'!C152</f>
        <v>0</v>
      </c>
      <c r="F267" s="208">
        <f>'POSEBNI DIO'!D152</f>
        <v>0</v>
      </c>
      <c r="G267" s="208">
        <f>'POSEBNI DIO'!E152</f>
        <v>0</v>
      </c>
      <c r="H267" s="208" t="e">
        <f t="shared" si="19"/>
        <v>#DIV/0!</v>
      </c>
      <c r="I267" s="209" t="e">
        <f t="shared" si="20"/>
        <v>#DIV/0!</v>
      </c>
    </row>
    <row r="268" spans="1:9" s="183" customFormat="1" ht="12" x14ac:dyDescent="0.3">
      <c r="A268" s="206"/>
      <c r="B268" s="207"/>
      <c r="C268" s="485" t="s">
        <v>316</v>
      </c>
      <c r="D268" s="180" t="s">
        <v>93</v>
      </c>
      <c r="E268" s="208">
        <f>'POSEBNI DIO'!C298</f>
        <v>0</v>
      </c>
      <c r="F268" s="208">
        <f>'POSEBNI DIO'!D298</f>
        <v>1000</v>
      </c>
      <c r="G268" s="208">
        <f>'POSEBNI DIO'!E298</f>
        <v>1087.5</v>
      </c>
      <c r="H268" s="208" t="e">
        <f t="shared" ref="H268" si="131">G268/E268*100</f>
        <v>#DIV/0!</v>
      </c>
      <c r="I268" s="209">
        <f t="shared" ref="I268" si="132">G268/F268*100</f>
        <v>108.74999999999999</v>
      </c>
    </row>
    <row r="269" spans="1:9" s="183" customFormat="1" ht="12" x14ac:dyDescent="0.3">
      <c r="A269" s="206"/>
      <c r="B269" s="207"/>
      <c r="C269" s="485" t="s">
        <v>327</v>
      </c>
      <c r="D269" s="180" t="s">
        <v>87</v>
      </c>
      <c r="E269" s="208">
        <f>'POSEBNI DIO'!C198</f>
        <v>0</v>
      </c>
      <c r="F269" s="208">
        <f>'POSEBNI DIO'!D198</f>
        <v>0</v>
      </c>
      <c r="G269" s="208">
        <f>'POSEBNI DIO'!E198</f>
        <v>0</v>
      </c>
      <c r="H269" s="208" t="e">
        <f t="shared" ref="H269" si="133">G269/E269*100</f>
        <v>#DIV/0!</v>
      </c>
      <c r="I269" s="209" t="e">
        <f t="shared" ref="I269" si="134">G269/F269*100</f>
        <v>#DIV/0!</v>
      </c>
    </row>
    <row r="270" spans="1:9" s="214" customFormat="1" ht="12" x14ac:dyDescent="0.25">
      <c r="A270" s="210"/>
      <c r="B270" s="211"/>
      <c r="C270" s="485" t="s">
        <v>331</v>
      </c>
      <c r="D270" s="180" t="s">
        <v>88</v>
      </c>
      <c r="E270" s="212">
        <f>'POSEBNI DIO'!C77+'POSEBNI DIO'!C230</f>
        <v>0</v>
      </c>
      <c r="F270" s="212">
        <f>'POSEBNI DIO'!D77+'POSEBNI DIO'!D230</f>
        <v>0</v>
      </c>
      <c r="G270" s="212">
        <f>'POSEBNI DIO'!E77+'POSEBNI DIO'!E230</f>
        <v>0</v>
      </c>
      <c r="H270" s="212" t="e">
        <f t="shared" si="19"/>
        <v>#DIV/0!</v>
      </c>
      <c r="I270" s="213" t="e">
        <f t="shared" si="20"/>
        <v>#DIV/0!</v>
      </c>
    </row>
    <row r="271" spans="1:9" s="214" customFormat="1" ht="12" x14ac:dyDescent="0.25">
      <c r="A271" s="210"/>
      <c r="B271" s="211"/>
      <c r="C271" s="485" t="s">
        <v>95</v>
      </c>
      <c r="D271" s="180" t="s">
        <v>96</v>
      </c>
      <c r="E271" s="212">
        <f>'POSEBNI DIO'!C255</f>
        <v>0</v>
      </c>
      <c r="F271" s="212">
        <f>'POSEBNI DIO'!D255</f>
        <v>0</v>
      </c>
      <c r="G271" s="212">
        <f>'POSEBNI DIO'!E255</f>
        <v>0</v>
      </c>
      <c r="H271" s="212" t="e">
        <f t="shared" si="19"/>
        <v>#DIV/0!</v>
      </c>
      <c r="I271" s="213" t="e">
        <f t="shared" si="20"/>
        <v>#DIV/0!</v>
      </c>
    </row>
    <row r="272" spans="1:9" s="214" customFormat="1" ht="12" x14ac:dyDescent="0.25">
      <c r="A272" s="210"/>
      <c r="B272" s="211"/>
      <c r="C272" s="549" t="s">
        <v>97</v>
      </c>
      <c r="D272" s="215" t="s">
        <v>98</v>
      </c>
      <c r="E272" s="212">
        <f>'POSEBNI DIO'!C263</f>
        <v>0</v>
      </c>
      <c r="F272" s="212">
        <f>'POSEBNI DIO'!D263</f>
        <v>0</v>
      </c>
      <c r="G272" s="212">
        <f>'POSEBNI DIO'!E263</f>
        <v>0</v>
      </c>
      <c r="H272" s="212" t="e">
        <f t="shared" si="19"/>
        <v>#DIV/0!</v>
      </c>
      <c r="I272" s="213" t="e">
        <f t="shared" si="20"/>
        <v>#DIV/0!</v>
      </c>
    </row>
    <row r="273" spans="1:9" s="27" customFormat="1" x14ac:dyDescent="0.3">
      <c r="A273" s="20"/>
      <c r="B273" s="5">
        <v>424</v>
      </c>
      <c r="C273" s="474"/>
      <c r="D273" s="10" t="s">
        <v>170</v>
      </c>
      <c r="E273" s="60">
        <f t="shared" ref="E273:G273" si="135">E274</f>
        <v>15609.25</v>
      </c>
      <c r="F273" s="60">
        <f t="shared" si="135"/>
        <v>15200</v>
      </c>
      <c r="G273" s="60">
        <f t="shared" si="135"/>
        <v>0</v>
      </c>
      <c r="H273" s="60">
        <f t="shared" si="19"/>
        <v>0</v>
      </c>
      <c r="I273" s="72">
        <f t="shared" si="20"/>
        <v>0</v>
      </c>
    </row>
    <row r="274" spans="1:9" s="176" customFormat="1" ht="12" x14ac:dyDescent="0.3">
      <c r="A274" s="171"/>
      <c r="B274" s="172">
        <v>4241</v>
      </c>
      <c r="C274" s="475"/>
      <c r="D274" s="191" t="s">
        <v>170</v>
      </c>
      <c r="E274" s="167">
        <f t="shared" ref="E274" si="136">SUM(E275:E279)</f>
        <v>15609.25</v>
      </c>
      <c r="F274" s="167">
        <f t="shared" ref="F274:G274" si="137">SUM(F275:F279)</f>
        <v>15200</v>
      </c>
      <c r="G274" s="167">
        <f t="shared" si="137"/>
        <v>0</v>
      </c>
      <c r="H274" s="167">
        <f t="shared" si="19"/>
        <v>0</v>
      </c>
      <c r="I274" s="175">
        <f t="shared" si="20"/>
        <v>0</v>
      </c>
    </row>
    <row r="275" spans="1:9" s="183" customFormat="1" ht="12" x14ac:dyDescent="0.3">
      <c r="A275" s="177"/>
      <c r="B275" s="178"/>
      <c r="C275" s="485" t="s">
        <v>100</v>
      </c>
      <c r="D275" s="190" t="s">
        <v>101</v>
      </c>
      <c r="E275" s="168">
        <f>'POSEBNI DIO'!C335</f>
        <v>76.81</v>
      </c>
      <c r="F275" s="168">
        <f>'POSEBNI DIO'!D335</f>
        <v>100</v>
      </c>
      <c r="G275" s="168">
        <f>'POSEBNI DIO'!E335</f>
        <v>0</v>
      </c>
      <c r="H275" s="168">
        <f t="shared" ref="H275:H276" si="138">G275/E275*100</f>
        <v>0</v>
      </c>
      <c r="I275" s="182">
        <f t="shared" ref="I275:I276" si="139">G275/F275*100</f>
        <v>0</v>
      </c>
    </row>
    <row r="276" spans="1:9" s="183" customFormat="1" ht="12" x14ac:dyDescent="0.3">
      <c r="A276" s="206"/>
      <c r="B276" s="207"/>
      <c r="C276" s="485" t="s">
        <v>90</v>
      </c>
      <c r="D276" s="180" t="s">
        <v>91</v>
      </c>
      <c r="E276" s="208">
        <f>'POSEBNI DIO'!C154</f>
        <v>313.49</v>
      </c>
      <c r="F276" s="208">
        <f>'POSEBNI DIO'!D154</f>
        <v>100</v>
      </c>
      <c r="G276" s="208">
        <f>'POSEBNI DIO'!E154</f>
        <v>0</v>
      </c>
      <c r="H276" s="208">
        <f t="shared" si="138"/>
        <v>0</v>
      </c>
      <c r="I276" s="209">
        <f t="shared" si="139"/>
        <v>0</v>
      </c>
    </row>
    <row r="277" spans="1:9" s="214" customFormat="1" ht="12" x14ac:dyDescent="0.25">
      <c r="A277" s="210"/>
      <c r="B277" s="211"/>
      <c r="C277" s="485" t="s">
        <v>327</v>
      </c>
      <c r="D277" s="180" t="s">
        <v>87</v>
      </c>
      <c r="E277" s="212">
        <f>'POSEBNI DIO'!C200</f>
        <v>15218.95</v>
      </c>
      <c r="F277" s="212">
        <f>'POSEBNI DIO'!D200</f>
        <v>15000</v>
      </c>
      <c r="G277" s="212">
        <f>'POSEBNI DIO'!E200</f>
        <v>0</v>
      </c>
      <c r="H277" s="212">
        <f t="shared" si="19"/>
        <v>0</v>
      </c>
      <c r="I277" s="213">
        <f t="shared" si="20"/>
        <v>0</v>
      </c>
    </row>
    <row r="278" spans="1:9" s="214" customFormat="1" ht="12.75" customHeight="1" x14ac:dyDescent="0.25">
      <c r="A278" s="210"/>
      <c r="B278" s="211"/>
      <c r="C278" s="485" t="s">
        <v>331</v>
      </c>
      <c r="D278" s="180" t="s">
        <v>88</v>
      </c>
      <c r="E278" s="212">
        <f>'POSEBNI DIO'!C232</f>
        <v>0</v>
      </c>
      <c r="F278" s="212">
        <f>'POSEBNI DIO'!D232</f>
        <v>0</v>
      </c>
      <c r="G278" s="212">
        <f>'POSEBNI DIO'!E232</f>
        <v>0</v>
      </c>
      <c r="H278" s="212" t="e">
        <f t="shared" si="19"/>
        <v>#DIV/0!</v>
      </c>
      <c r="I278" s="213" t="e">
        <f t="shared" si="20"/>
        <v>#DIV/0!</v>
      </c>
    </row>
    <row r="279" spans="1:9" s="214" customFormat="1" ht="12" x14ac:dyDescent="0.25">
      <c r="A279" s="210"/>
      <c r="B279" s="211"/>
      <c r="C279" s="485" t="s">
        <v>95</v>
      </c>
      <c r="D279" s="180" t="s">
        <v>96</v>
      </c>
      <c r="E279" s="212">
        <f>'POSEBNI DIO'!C257</f>
        <v>0</v>
      </c>
      <c r="F279" s="212">
        <f>'POSEBNI DIO'!D257</f>
        <v>0</v>
      </c>
      <c r="G279" s="212">
        <f>'POSEBNI DIO'!E257</f>
        <v>0</v>
      </c>
      <c r="H279" s="212" t="e">
        <f t="shared" ref="H279" si="140">G279/E279*100</f>
        <v>#DIV/0!</v>
      </c>
      <c r="I279" s="213" t="e">
        <f t="shared" ref="I279" si="141">G279/F279*100</f>
        <v>#DIV/0!</v>
      </c>
    </row>
    <row r="280" spans="1:9" s="27" customFormat="1" x14ac:dyDescent="0.3">
      <c r="A280" s="20"/>
      <c r="B280" s="5">
        <v>426</v>
      </c>
      <c r="C280" s="474"/>
      <c r="D280" s="10" t="s">
        <v>160</v>
      </c>
      <c r="E280" s="60">
        <f t="shared" ref="E280:G280" si="142">E281</f>
        <v>1465.63</v>
      </c>
      <c r="F280" s="60">
        <f t="shared" si="142"/>
        <v>0</v>
      </c>
      <c r="G280" s="60">
        <f t="shared" si="142"/>
        <v>0</v>
      </c>
      <c r="H280" s="60">
        <f t="shared" si="19"/>
        <v>0</v>
      </c>
      <c r="I280" s="72" t="e">
        <f t="shared" si="20"/>
        <v>#DIV/0!</v>
      </c>
    </row>
    <row r="281" spans="1:9" s="176" customFormat="1" ht="12" x14ac:dyDescent="0.3">
      <c r="A281" s="171"/>
      <c r="B281" s="172">
        <v>4262</v>
      </c>
      <c r="C281" s="475"/>
      <c r="D281" s="191" t="s">
        <v>142</v>
      </c>
      <c r="E281" s="167">
        <f>SUM(E282:E284)</f>
        <v>1465.63</v>
      </c>
      <c r="F281" s="167">
        <f t="shared" ref="F281:G281" si="143">SUM(F282:F284)</f>
        <v>0</v>
      </c>
      <c r="G281" s="167">
        <f t="shared" si="143"/>
        <v>0</v>
      </c>
      <c r="H281" s="167">
        <f t="shared" si="19"/>
        <v>0</v>
      </c>
      <c r="I281" s="175" t="e">
        <f t="shared" si="20"/>
        <v>#DIV/0!</v>
      </c>
    </row>
    <row r="282" spans="1:9" s="463" customFormat="1" ht="12" x14ac:dyDescent="0.3">
      <c r="A282" s="459"/>
      <c r="B282" s="190"/>
      <c r="C282" s="471" t="s">
        <v>100</v>
      </c>
      <c r="D282" s="550" t="s">
        <v>101</v>
      </c>
      <c r="E282" s="551">
        <f>'POSEBNI DIO'!C337</f>
        <v>1465.63</v>
      </c>
      <c r="F282" s="551">
        <f>'POSEBNI DIO'!D337</f>
        <v>0</v>
      </c>
      <c r="G282" s="551">
        <f>'POSEBNI DIO'!E337</f>
        <v>0</v>
      </c>
      <c r="H282" s="167">
        <f t="shared" ref="H282" si="144">G282/E282*100</f>
        <v>0</v>
      </c>
      <c r="I282" s="175" t="e">
        <f t="shared" ref="I282" si="145">G282/F282*100</f>
        <v>#DIV/0!</v>
      </c>
    </row>
    <row r="283" spans="1:9" s="183" customFormat="1" ht="12" x14ac:dyDescent="0.3">
      <c r="A283" s="206"/>
      <c r="B283" s="207"/>
      <c r="C283" s="485" t="s">
        <v>90</v>
      </c>
      <c r="D283" s="180" t="s">
        <v>91</v>
      </c>
      <c r="E283" s="208">
        <f>'POSEBNI DIO'!C156</f>
        <v>0</v>
      </c>
      <c r="F283" s="208">
        <f>'POSEBNI DIO'!D156</f>
        <v>0</v>
      </c>
      <c r="G283" s="208">
        <f>'POSEBNI DIO'!E156</f>
        <v>0</v>
      </c>
      <c r="H283" s="208" t="e">
        <f t="shared" si="19"/>
        <v>#DIV/0!</v>
      </c>
      <c r="I283" s="209" t="e">
        <f t="shared" si="20"/>
        <v>#DIV/0!</v>
      </c>
    </row>
    <row r="284" spans="1:9" s="183" customFormat="1" ht="12" x14ac:dyDescent="0.3">
      <c r="A284" s="206"/>
      <c r="B284" s="207"/>
      <c r="C284" s="485" t="s">
        <v>327</v>
      </c>
      <c r="D284" s="180" t="s">
        <v>87</v>
      </c>
      <c r="E284" s="208">
        <f>'POSEBNI DIO'!C202</f>
        <v>0</v>
      </c>
      <c r="F284" s="208">
        <f>'POSEBNI DIO'!D202</f>
        <v>0</v>
      </c>
      <c r="G284" s="208">
        <f>'POSEBNI DIO'!E202</f>
        <v>0</v>
      </c>
      <c r="H284" s="208" t="e">
        <f t="shared" ref="H284" si="146">G284/E284*100</f>
        <v>#DIV/0!</v>
      </c>
      <c r="I284" s="209" t="e">
        <f t="shared" ref="I284" si="147">G284/F284*100</f>
        <v>#DIV/0!</v>
      </c>
    </row>
    <row r="285" spans="1:9" s="27" customFormat="1" x14ac:dyDescent="0.3">
      <c r="A285" s="20"/>
      <c r="B285" s="5">
        <v>45</v>
      </c>
      <c r="C285" s="474"/>
      <c r="D285" s="155" t="s">
        <v>171</v>
      </c>
      <c r="E285" s="60">
        <f t="shared" ref="E285:G286" si="148">E286</f>
        <v>0</v>
      </c>
      <c r="F285" s="60">
        <f t="shared" si="148"/>
        <v>50000</v>
      </c>
      <c r="G285" s="60">
        <f t="shared" si="148"/>
        <v>0</v>
      </c>
      <c r="H285" s="60" t="e">
        <f t="shared" si="19"/>
        <v>#DIV/0!</v>
      </c>
      <c r="I285" s="72">
        <f t="shared" si="20"/>
        <v>0</v>
      </c>
    </row>
    <row r="286" spans="1:9" s="27" customFormat="1" x14ac:dyDescent="0.3">
      <c r="A286" s="20"/>
      <c r="B286" s="5">
        <v>451</v>
      </c>
      <c r="C286" s="474"/>
      <c r="D286" s="10" t="s">
        <v>147</v>
      </c>
      <c r="E286" s="60">
        <f t="shared" si="148"/>
        <v>0</v>
      </c>
      <c r="F286" s="60">
        <f t="shared" si="148"/>
        <v>50000</v>
      </c>
      <c r="G286" s="60">
        <f t="shared" si="148"/>
        <v>0</v>
      </c>
      <c r="H286" s="60" t="e">
        <f t="shared" si="19"/>
        <v>#DIV/0!</v>
      </c>
      <c r="I286" s="72">
        <f t="shared" si="20"/>
        <v>0</v>
      </c>
    </row>
    <row r="287" spans="1:9" s="176" customFormat="1" ht="12" x14ac:dyDescent="0.3">
      <c r="A287" s="171"/>
      <c r="B287" s="172">
        <v>4511</v>
      </c>
      <c r="C287" s="475"/>
      <c r="D287" s="191" t="s">
        <v>147</v>
      </c>
      <c r="E287" s="167">
        <f>SUM(E288:E289)</f>
        <v>0</v>
      </c>
      <c r="F287" s="167">
        <f t="shared" ref="F287:G287" si="149">SUM(F288:F289)</f>
        <v>50000</v>
      </c>
      <c r="G287" s="167">
        <f t="shared" si="149"/>
        <v>0</v>
      </c>
      <c r="H287" s="167" t="e">
        <f t="shared" si="19"/>
        <v>#DIV/0!</v>
      </c>
      <c r="I287" s="175">
        <f t="shared" si="20"/>
        <v>0</v>
      </c>
    </row>
    <row r="288" spans="1:9" s="183" customFormat="1" ht="12" x14ac:dyDescent="0.3">
      <c r="A288" s="192"/>
      <c r="B288" s="193"/>
      <c r="C288" s="485" t="s">
        <v>99</v>
      </c>
      <c r="D288" s="179" t="s">
        <v>16</v>
      </c>
      <c r="E288" s="168">
        <f>'POSEBNI DIO'!C321</f>
        <v>0</v>
      </c>
      <c r="F288" s="168">
        <f>'POSEBNI DIO'!D321</f>
        <v>0</v>
      </c>
      <c r="G288" s="168">
        <f>'POSEBNI DIO'!E321</f>
        <v>0</v>
      </c>
      <c r="H288" s="168"/>
      <c r="I288" s="182"/>
    </row>
    <row r="289" spans="1:9" s="183" customFormat="1" ht="12" x14ac:dyDescent="0.3">
      <c r="A289" s="206"/>
      <c r="B289" s="207"/>
      <c r="C289" s="485" t="s">
        <v>100</v>
      </c>
      <c r="D289" s="190" t="s">
        <v>101</v>
      </c>
      <c r="E289" s="208">
        <f>'POSEBNI DIO'!C340</f>
        <v>0</v>
      </c>
      <c r="F289" s="208">
        <f>'POSEBNI DIO'!D340</f>
        <v>50000</v>
      </c>
      <c r="G289" s="208">
        <f>'POSEBNI DIO'!E340</f>
        <v>0</v>
      </c>
      <c r="H289" s="208" t="e">
        <f t="shared" si="19"/>
        <v>#DIV/0!</v>
      </c>
      <c r="I289" s="209">
        <f t="shared" si="20"/>
        <v>0</v>
      </c>
    </row>
    <row r="290" spans="1:9" s="27" customFormat="1" x14ac:dyDescent="0.3">
      <c r="A290" s="30">
        <v>9</v>
      </c>
      <c r="B290" s="6"/>
      <c r="C290" s="478"/>
      <c r="D290" s="10" t="s">
        <v>45</v>
      </c>
      <c r="E290" s="60">
        <f t="shared" ref="E290:G291" si="150">E291</f>
        <v>0</v>
      </c>
      <c r="F290" s="60">
        <f t="shared" si="150"/>
        <v>0</v>
      </c>
      <c r="G290" s="60">
        <f t="shared" si="150"/>
        <v>0</v>
      </c>
      <c r="H290" s="60" t="e">
        <f t="shared" si="19"/>
        <v>#DIV/0!</v>
      </c>
      <c r="I290" s="72" t="e">
        <f t="shared" si="20"/>
        <v>#DIV/0!</v>
      </c>
    </row>
    <row r="291" spans="1:9" s="27" customFormat="1" x14ac:dyDescent="0.3">
      <c r="A291" s="20"/>
      <c r="B291" s="5">
        <v>92</v>
      </c>
      <c r="C291" s="474"/>
      <c r="D291" s="10" t="s">
        <v>46</v>
      </c>
      <c r="E291" s="60">
        <f t="shared" si="150"/>
        <v>0</v>
      </c>
      <c r="F291" s="60">
        <f t="shared" si="150"/>
        <v>0</v>
      </c>
      <c r="G291" s="60">
        <f t="shared" si="150"/>
        <v>0</v>
      </c>
      <c r="H291" s="60" t="e">
        <f t="shared" si="19"/>
        <v>#DIV/0!</v>
      </c>
      <c r="I291" s="72" t="e">
        <f t="shared" si="20"/>
        <v>#DIV/0!</v>
      </c>
    </row>
    <row r="292" spans="1:9" s="27" customFormat="1" x14ac:dyDescent="0.3">
      <c r="A292" s="20"/>
      <c r="B292" s="5">
        <v>922</v>
      </c>
      <c r="C292" s="474"/>
      <c r="D292" s="10" t="s">
        <v>148</v>
      </c>
      <c r="E292" s="60">
        <f>E293</f>
        <v>0</v>
      </c>
      <c r="F292" s="60">
        <f>F293</f>
        <v>0</v>
      </c>
      <c r="G292" s="60">
        <f>G293</f>
        <v>0</v>
      </c>
      <c r="H292" s="60" t="e">
        <f t="shared" si="19"/>
        <v>#DIV/0!</v>
      </c>
      <c r="I292" s="72" t="e">
        <f t="shared" si="20"/>
        <v>#DIV/0!</v>
      </c>
    </row>
    <row r="293" spans="1:9" s="176" customFormat="1" ht="12" x14ac:dyDescent="0.3">
      <c r="A293" s="171"/>
      <c r="B293" s="172">
        <v>9222</v>
      </c>
      <c r="C293" s="475"/>
      <c r="D293" s="191" t="s">
        <v>149</v>
      </c>
      <c r="E293" s="167">
        <f>SUM(E294:E301)</f>
        <v>0</v>
      </c>
      <c r="F293" s="167">
        <f t="shared" ref="F293:G293" si="151">SUM(F294:F301)</f>
        <v>0</v>
      </c>
      <c r="G293" s="167">
        <f t="shared" si="151"/>
        <v>0</v>
      </c>
      <c r="H293" s="167" t="e">
        <f t="shared" si="19"/>
        <v>#DIV/0!</v>
      </c>
      <c r="I293" s="175" t="e">
        <f t="shared" si="20"/>
        <v>#DIV/0!</v>
      </c>
    </row>
    <row r="294" spans="1:9" s="183" customFormat="1" ht="12" x14ac:dyDescent="0.3">
      <c r="A294" s="192"/>
      <c r="B294" s="193"/>
      <c r="C294" s="485" t="s">
        <v>99</v>
      </c>
      <c r="D294" s="179" t="s">
        <v>16</v>
      </c>
      <c r="E294" s="168">
        <v>0</v>
      </c>
      <c r="F294" s="168">
        <v>0</v>
      </c>
      <c r="G294" s="168"/>
      <c r="H294" s="168"/>
      <c r="I294" s="182"/>
    </row>
    <row r="295" spans="1:9" s="183" customFormat="1" ht="12" x14ac:dyDescent="0.3">
      <c r="A295" s="192"/>
      <c r="B295" s="193"/>
      <c r="C295" s="471" t="s">
        <v>100</v>
      </c>
      <c r="D295" s="550" t="s">
        <v>101</v>
      </c>
      <c r="E295" s="168">
        <v>0</v>
      </c>
      <c r="F295" s="168">
        <v>0</v>
      </c>
      <c r="G295" s="168"/>
      <c r="H295" s="168"/>
      <c r="I295" s="182"/>
    </row>
    <row r="296" spans="1:9" s="183" customFormat="1" ht="12" x14ac:dyDescent="0.3">
      <c r="A296" s="192"/>
      <c r="B296" s="193"/>
      <c r="C296" s="485" t="s">
        <v>86</v>
      </c>
      <c r="D296" s="180" t="s">
        <v>93</v>
      </c>
      <c r="E296" s="168">
        <f>'POSEBNI DIO'!C25</f>
        <v>0</v>
      </c>
      <c r="F296" s="168">
        <f>'POSEBNI DIO'!D25</f>
        <v>0</v>
      </c>
      <c r="G296" s="168"/>
      <c r="H296" s="168" t="e">
        <f t="shared" si="19"/>
        <v>#DIV/0!</v>
      </c>
      <c r="I296" s="182" t="e">
        <f t="shared" si="20"/>
        <v>#DIV/0!</v>
      </c>
    </row>
    <row r="297" spans="1:9" s="183" customFormat="1" ht="12" x14ac:dyDescent="0.3">
      <c r="A297" s="195"/>
      <c r="B297" s="196"/>
      <c r="C297" s="547" t="s">
        <v>327</v>
      </c>
      <c r="D297" s="203" t="s">
        <v>87</v>
      </c>
      <c r="E297" s="556">
        <f>'POSEBNI DIO'!C57</f>
        <v>0</v>
      </c>
      <c r="F297" s="556">
        <f>'POSEBNI DIO'!D57</f>
        <v>0</v>
      </c>
      <c r="G297" s="556"/>
      <c r="H297" s="556" t="e">
        <f t="shared" ref="H297" si="152">G297/E297*100</f>
        <v>#DIV/0!</v>
      </c>
      <c r="I297" s="557" t="e">
        <f t="shared" ref="I297" si="153">G297/F297*100</f>
        <v>#DIV/0!</v>
      </c>
    </row>
    <row r="298" spans="1:9" s="214" customFormat="1" ht="12" x14ac:dyDescent="0.25">
      <c r="A298" s="560"/>
      <c r="B298" s="558"/>
      <c r="C298" s="485" t="s">
        <v>328</v>
      </c>
      <c r="D298" s="190" t="s">
        <v>102</v>
      </c>
      <c r="E298" s="559">
        <v>0</v>
      </c>
      <c r="F298" s="559">
        <v>0</v>
      </c>
      <c r="G298" s="559"/>
      <c r="H298" s="559"/>
      <c r="I298" s="561"/>
    </row>
    <row r="299" spans="1:9" s="214" customFormat="1" ht="12" x14ac:dyDescent="0.25">
      <c r="A299" s="560"/>
      <c r="B299" s="558"/>
      <c r="C299" s="485" t="s">
        <v>329</v>
      </c>
      <c r="D299" s="190" t="s">
        <v>332</v>
      </c>
      <c r="E299" s="559">
        <v>0</v>
      </c>
      <c r="F299" s="559">
        <v>0</v>
      </c>
      <c r="G299" s="559"/>
      <c r="H299" s="559"/>
      <c r="I299" s="561"/>
    </row>
    <row r="300" spans="1:9" s="214" customFormat="1" ht="12" x14ac:dyDescent="0.25">
      <c r="A300" s="568"/>
      <c r="B300" s="569"/>
      <c r="C300" s="547" t="s">
        <v>330</v>
      </c>
      <c r="D300" s="190" t="s">
        <v>103</v>
      </c>
      <c r="E300" s="570">
        <v>0</v>
      </c>
      <c r="F300" s="570">
        <v>0</v>
      </c>
      <c r="G300" s="570"/>
      <c r="H300" s="570"/>
      <c r="I300" s="571"/>
    </row>
    <row r="301" spans="1:9" s="214" customFormat="1" ht="12.6" thickBot="1" x14ac:dyDescent="0.3">
      <c r="A301" s="562"/>
      <c r="B301" s="563"/>
      <c r="C301" s="506" t="s">
        <v>331</v>
      </c>
      <c r="D301" s="200" t="s">
        <v>88</v>
      </c>
      <c r="E301" s="564">
        <v>0</v>
      </c>
      <c r="F301" s="564">
        <v>0</v>
      </c>
      <c r="G301" s="564"/>
      <c r="H301" s="564"/>
      <c r="I301" s="565"/>
    </row>
  </sheetData>
  <mergeCells count="12">
    <mergeCell ref="A10:C10"/>
    <mergeCell ref="A11:C11"/>
    <mergeCell ref="A5:C5"/>
    <mergeCell ref="A6:C6"/>
    <mergeCell ref="A7:C7"/>
    <mergeCell ref="A8:C8"/>
    <mergeCell ref="A9:C9"/>
    <mergeCell ref="A19:I19"/>
    <mergeCell ref="A86:I86"/>
    <mergeCell ref="A15:I15"/>
    <mergeCell ref="A17:I17"/>
    <mergeCell ref="A13:I13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2" manualBreakCount="2">
    <brk id="84" max="8" man="1"/>
    <brk id="183" max="8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350520</xdr:colOff>
                <xdr:row>0</xdr:row>
                <xdr:rowOff>76200</xdr:rowOff>
              </from>
              <to>
                <xdr:col>1</xdr:col>
                <xdr:colOff>304800</xdr:colOff>
                <xdr:row>3</xdr:row>
                <xdr:rowOff>99060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C323-59C6-4707-9B3E-A14F67CE905D}">
  <dimension ref="A1:S86"/>
  <sheetViews>
    <sheetView topLeftCell="A77" zoomScale="98" zoomScaleNormal="98" workbookViewId="0">
      <selection activeCell="A17" sqref="A17:H17"/>
    </sheetView>
  </sheetViews>
  <sheetFormatPr defaultRowHeight="14.4" x14ac:dyDescent="0.3"/>
  <cols>
    <col min="1" max="1" width="7.5546875" customWidth="1"/>
    <col min="2" max="2" width="10.33203125" style="483" customWidth="1"/>
    <col min="3" max="3" width="66.6640625" customWidth="1"/>
    <col min="4" max="6" width="14.44140625" style="15" customWidth="1"/>
    <col min="7" max="8" width="11.44140625" style="15" customWidth="1"/>
  </cols>
  <sheetData>
    <row r="1" spans="1:19" s="40" customFormat="1" ht="13.2" x14ac:dyDescent="0.25">
      <c r="B1" s="464"/>
      <c r="D1" s="44"/>
      <c r="E1" s="44"/>
      <c r="F1" s="44"/>
      <c r="G1" s="44"/>
      <c r="H1" s="44"/>
    </row>
    <row r="2" spans="1:19" s="40" customFormat="1" ht="13.2" x14ac:dyDescent="0.25">
      <c r="B2" s="464"/>
      <c r="D2" s="44"/>
      <c r="E2" s="44"/>
      <c r="F2" s="44"/>
      <c r="G2" s="44"/>
      <c r="H2" s="44"/>
    </row>
    <row r="3" spans="1:19" s="40" customFormat="1" ht="13.8" x14ac:dyDescent="0.3">
      <c r="B3" s="464"/>
      <c r="D3" s="44"/>
      <c r="E3" s="44"/>
      <c r="F3" s="44"/>
      <c r="G3" s="44"/>
      <c r="H3" s="44"/>
      <c r="Q3" s="41"/>
      <c r="R3" s="41"/>
      <c r="S3" s="41"/>
    </row>
    <row r="4" spans="1:19" s="40" customFormat="1" ht="13.2" x14ac:dyDescent="0.25">
      <c r="B4" s="464"/>
      <c r="D4" s="44"/>
      <c r="E4" s="44"/>
      <c r="F4" s="44"/>
      <c r="G4" s="44"/>
      <c r="H4" s="44"/>
    </row>
    <row r="5" spans="1:19" s="40" customFormat="1" ht="15.6" customHeight="1" x14ac:dyDescent="0.3">
      <c r="A5" s="591" t="s">
        <v>111</v>
      </c>
      <c r="B5" s="592"/>
      <c r="C5" s="592"/>
      <c r="D5" s="45"/>
      <c r="E5" s="45"/>
      <c r="F5" s="45"/>
      <c r="G5" s="45"/>
      <c r="H5" s="45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s="40" customFormat="1" ht="15.6" customHeight="1" x14ac:dyDescent="0.3">
      <c r="A6" s="591" t="s">
        <v>112</v>
      </c>
      <c r="B6" s="592"/>
      <c r="C6" s="592"/>
      <c r="D6" s="45"/>
      <c r="E6" s="45"/>
      <c r="F6" s="45"/>
      <c r="G6" s="45"/>
      <c r="H6" s="45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s="40" customFormat="1" ht="15.6" customHeight="1" x14ac:dyDescent="0.3">
      <c r="A7" s="591" t="s">
        <v>338</v>
      </c>
      <c r="B7" s="592"/>
      <c r="C7" s="592"/>
      <c r="D7" s="45"/>
      <c r="E7" s="45"/>
      <c r="F7" s="45"/>
      <c r="G7" s="45"/>
      <c r="H7" s="45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s="40" customFormat="1" ht="15.6" customHeight="1" x14ac:dyDescent="0.3">
      <c r="A8" s="591" t="s">
        <v>339</v>
      </c>
      <c r="B8" s="592"/>
      <c r="C8" s="592"/>
      <c r="D8" s="45"/>
      <c r="E8" s="45"/>
      <c r="F8" s="45"/>
      <c r="G8" s="45"/>
      <c r="H8" s="45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s="40" customFormat="1" ht="15.6" x14ac:dyDescent="0.3">
      <c r="A9" s="591" t="s">
        <v>344</v>
      </c>
      <c r="B9" s="592"/>
      <c r="C9" s="592"/>
      <c r="D9" s="45"/>
      <c r="E9" s="45"/>
      <c r="F9" s="45"/>
      <c r="G9" s="45"/>
      <c r="H9" s="45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s="40" customFormat="1" ht="15.6" customHeight="1" x14ac:dyDescent="0.3">
      <c r="A10" s="591" t="s">
        <v>345</v>
      </c>
      <c r="B10" s="592"/>
      <c r="C10" s="592"/>
      <c r="D10" s="45"/>
      <c r="E10" s="45"/>
      <c r="F10" s="45"/>
      <c r="G10" s="45"/>
      <c r="H10" s="45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</row>
    <row r="11" spans="1:19" s="40" customFormat="1" ht="15.6" customHeight="1" x14ac:dyDescent="0.3">
      <c r="A11" s="591" t="s">
        <v>340</v>
      </c>
      <c r="B11" s="592"/>
      <c r="C11" s="592"/>
      <c r="D11" s="45"/>
      <c r="E11" s="45"/>
      <c r="F11" s="45"/>
      <c r="G11" s="45"/>
      <c r="H11" s="45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</row>
    <row r="12" spans="1:19" s="40" customFormat="1" ht="15.6" x14ac:dyDescent="0.3">
      <c r="A12" s="42"/>
      <c r="B12" s="465"/>
      <c r="C12" s="42"/>
      <c r="D12" s="45"/>
      <c r="E12" s="45"/>
      <c r="F12" s="45"/>
      <c r="G12" s="45"/>
      <c r="H12" s="45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</row>
    <row r="13" spans="1:19" ht="15.75" customHeight="1" x14ac:dyDescent="0.3">
      <c r="A13" s="589" t="s">
        <v>341</v>
      </c>
      <c r="B13" s="589"/>
      <c r="C13" s="589"/>
      <c r="D13" s="589"/>
      <c r="E13" s="589"/>
      <c r="F13" s="589"/>
      <c r="G13" s="589"/>
      <c r="H13" s="589"/>
      <c r="I13" s="439"/>
    </row>
    <row r="14" spans="1:19" ht="18" customHeight="1" x14ac:dyDescent="0.3">
      <c r="A14" s="3"/>
      <c r="B14" s="466"/>
      <c r="C14" s="3"/>
      <c r="D14" s="14"/>
      <c r="E14" s="14"/>
      <c r="F14" s="14"/>
      <c r="G14" s="14"/>
      <c r="H14" s="14"/>
    </row>
    <row r="15" spans="1:19" ht="15.6" x14ac:dyDescent="0.3">
      <c r="A15" s="589" t="s">
        <v>30</v>
      </c>
      <c r="B15" s="589"/>
      <c r="C15" s="589"/>
      <c r="D15" s="589"/>
      <c r="E15" s="589"/>
      <c r="F15" s="589"/>
      <c r="G15" s="614"/>
      <c r="H15" s="614"/>
    </row>
    <row r="16" spans="1:19" ht="17.399999999999999" x14ac:dyDescent="0.3">
      <c r="A16" s="3"/>
      <c r="B16" s="466"/>
      <c r="C16" s="3"/>
      <c r="D16" s="14"/>
      <c r="E16" s="14"/>
      <c r="F16" s="14"/>
      <c r="G16" s="26"/>
      <c r="H16" s="26"/>
    </row>
    <row r="17" spans="1:8" ht="18" customHeight="1" x14ac:dyDescent="0.3">
      <c r="A17" s="589" t="s">
        <v>12</v>
      </c>
      <c r="B17" s="608"/>
      <c r="C17" s="608"/>
      <c r="D17" s="608"/>
      <c r="E17" s="608"/>
      <c r="F17" s="608"/>
      <c r="G17" s="608"/>
      <c r="H17" s="608"/>
    </row>
    <row r="18" spans="1:8" ht="17.399999999999999" x14ac:dyDescent="0.3">
      <c r="A18" s="3"/>
      <c r="B18" s="466"/>
      <c r="C18" s="3"/>
      <c r="D18" s="14"/>
      <c r="E18" s="14"/>
      <c r="F18" s="14"/>
      <c r="G18" s="26"/>
      <c r="H18" s="26"/>
    </row>
    <row r="19" spans="1:8" ht="15.6" x14ac:dyDescent="0.3">
      <c r="A19" s="589" t="s">
        <v>304</v>
      </c>
      <c r="B19" s="613"/>
      <c r="C19" s="613"/>
      <c r="D19" s="613"/>
      <c r="E19" s="613"/>
      <c r="F19" s="613"/>
      <c r="G19" s="613"/>
      <c r="H19" s="613"/>
    </row>
    <row r="20" spans="1:8" ht="18" thickBot="1" x14ac:dyDescent="0.35">
      <c r="A20" s="3"/>
      <c r="B20" s="466"/>
      <c r="C20" s="3"/>
      <c r="D20" s="14"/>
      <c r="E20" s="14"/>
      <c r="F20" s="14"/>
      <c r="G20" s="26"/>
      <c r="H20" s="26"/>
    </row>
    <row r="21" spans="1:8" ht="27" thickBot="1" x14ac:dyDescent="0.35">
      <c r="A21" s="552" t="s">
        <v>15</v>
      </c>
      <c r="B21" s="467" t="s">
        <v>15</v>
      </c>
      <c r="C21" s="32" t="s">
        <v>11</v>
      </c>
      <c r="D21" s="67" t="s">
        <v>318</v>
      </c>
      <c r="E21" s="53" t="s">
        <v>319</v>
      </c>
      <c r="F21" s="53" t="s">
        <v>320</v>
      </c>
      <c r="G21" s="34" t="s">
        <v>113</v>
      </c>
      <c r="H21" s="34" t="s">
        <v>113</v>
      </c>
    </row>
    <row r="22" spans="1:8" s="105" customFormat="1" ht="15" thickBot="1" x14ac:dyDescent="0.35">
      <c r="A22" s="553"/>
      <c r="B22" s="468"/>
      <c r="C22" s="126">
        <v>1</v>
      </c>
      <c r="D22" s="127">
        <v>2</v>
      </c>
      <c r="E22" s="128">
        <v>3</v>
      </c>
      <c r="F22" s="128">
        <v>4</v>
      </c>
      <c r="G22" s="129" t="s">
        <v>175</v>
      </c>
      <c r="H22" s="130" t="s">
        <v>176</v>
      </c>
    </row>
    <row r="23" spans="1:8" s="27" customFormat="1" x14ac:dyDescent="0.3">
      <c r="A23" s="497"/>
      <c r="B23" s="469"/>
      <c r="C23" s="39" t="s">
        <v>310</v>
      </c>
      <c r="D23" s="440">
        <f>D24+D27+D29+D31+D37+D40</f>
        <v>1575671.7000000002</v>
      </c>
      <c r="E23" s="440">
        <f>E24+E27+E29+E31+E37+E40</f>
        <v>1703279.91</v>
      </c>
      <c r="F23" s="440">
        <f>F24+F27+F29+F31+F37+F40</f>
        <v>811549.83</v>
      </c>
      <c r="G23" s="440">
        <f>F23/D23*100</f>
        <v>51.505007673870132</v>
      </c>
      <c r="H23" s="441">
        <f>F23/E23*100</f>
        <v>47.646298487721843</v>
      </c>
    </row>
    <row r="24" spans="1:8" s="445" customFormat="1" x14ac:dyDescent="0.3">
      <c r="A24" s="498">
        <v>1</v>
      </c>
      <c r="B24" s="470"/>
      <c r="C24" s="442" t="s">
        <v>48</v>
      </c>
      <c r="D24" s="443">
        <f>D25+D26</f>
        <v>137175.24</v>
      </c>
      <c r="E24" s="443">
        <f t="shared" ref="E24:F24" si="0">E25+E26</f>
        <v>236759.91</v>
      </c>
      <c r="F24" s="443">
        <f t="shared" si="0"/>
        <v>69286.63</v>
      </c>
      <c r="G24" s="443">
        <f t="shared" ref="G24:G53" si="1">F24/D24*100</f>
        <v>50.509574468395321</v>
      </c>
      <c r="H24" s="444">
        <f t="shared" ref="H24:H53" si="2">F24/E24*100</f>
        <v>29.264511039896917</v>
      </c>
    </row>
    <row r="25" spans="1:8" s="463" customFormat="1" ht="12" x14ac:dyDescent="0.3">
      <c r="A25" s="499"/>
      <c r="B25" s="471" t="s">
        <v>99</v>
      </c>
      <c r="C25" s="190" t="s">
        <v>16</v>
      </c>
      <c r="D25" s="460">
        <f>'račun prihoda i rashoda-ekonom'!E57+'račun prihoda i rashoda-ekonom'!E63</f>
        <v>64469.91</v>
      </c>
      <c r="E25" s="460">
        <f>'račun prihoda i rashoda-ekonom'!F57+'račun prihoda i rashoda-ekonom'!F63</f>
        <v>58752</v>
      </c>
      <c r="F25" s="460">
        <f>'račun prihoda i rashoda-ekonom'!G57+'račun prihoda i rashoda-ekonom'!G63</f>
        <v>14534.05</v>
      </c>
      <c r="G25" s="461">
        <f t="shared" si="1"/>
        <v>22.543927857197254</v>
      </c>
      <c r="H25" s="462">
        <f t="shared" si="2"/>
        <v>24.737966367102395</v>
      </c>
    </row>
    <row r="26" spans="1:8" s="463" customFormat="1" ht="12" x14ac:dyDescent="0.3">
      <c r="A26" s="499"/>
      <c r="B26" s="471" t="s">
        <v>100</v>
      </c>
      <c r="C26" s="190" t="s">
        <v>305</v>
      </c>
      <c r="D26" s="460">
        <f>'račun prihoda i rashoda-ekonom'!E58+'račun prihoda i rashoda-ekonom'!E64</f>
        <v>72705.33</v>
      </c>
      <c r="E26" s="460">
        <f>'račun prihoda i rashoda-ekonom'!F58+'račun prihoda i rashoda-ekonom'!F64</f>
        <v>178007.91</v>
      </c>
      <c r="F26" s="460">
        <f>'račun prihoda i rashoda-ekonom'!G58+'račun prihoda i rashoda-ekonom'!G64</f>
        <v>54752.58</v>
      </c>
      <c r="G26" s="461">
        <f t="shared" si="1"/>
        <v>75.307518719741722</v>
      </c>
      <c r="H26" s="462">
        <f t="shared" si="2"/>
        <v>30.758509551626105</v>
      </c>
    </row>
    <row r="27" spans="1:8" s="446" customFormat="1" ht="13.8" x14ac:dyDescent="0.3">
      <c r="A27" s="500">
        <v>3</v>
      </c>
      <c r="B27" s="472"/>
      <c r="C27" s="5" t="s">
        <v>297</v>
      </c>
      <c r="D27" s="61">
        <f>D28</f>
        <v>5566.83</v>
      </c>
      <c r="E27" s="61">
        <f t="shared" ref="E27:F27" si="3">E28</f>
        <v>7000</v>
      </c>
      <c r="F27" s="61">
        <f t="shared" si="3"/>
        <v>4580.4799999999996</v>
      </c>
      <c r="G27" s="59">
        <f t="shared" si="1"/>
        <v>82.281657604058324</v>
      </c>
      <c r="H27" s="73">
        <f t="shared" si="2"/>
        <v>65.43542857142856</v>
      </c>
    </row>
    <row r="28" spans="1:8" s="463" customFormat="1" ht="12" x14ac:dyDescent="0.3">
      <c r="A28" s="501"/>
      <c r="B28" s="485" t="s">
        <v>306</v>
      </c>
      <c r="C28" s="190" t="s">
        <v>91</v>
      </c>
      <c r="D28" s="460">
        <f>'račun prihoda i rashoda-ekonom'!E38+'račun prihoda i rashoda-ekonom'!E46+'račun prihoda i rashoda-ekonom'!E48+'račun prihoda i rashoda-ekonom'!E68</f>
        <v>5566.83</v>
      </c>
      <c r="E28" s="460">
        <f>'račun prihoda i rashoda-ekonom'!F38+'račun prihoda i rashoda-ekonom'!F46+'račun prihoda i rashoda-ekonom'!F48+'račun prihoda i rashoda-ekonom'!F68</f>
        <v>7000</v>
      </c>
      <c r="F28" s="460">
        <f>'račun prihoda i rashoda-ekonom'!G38+'račun prihoda i rashoda-ekonom'!G46+'račun prihoda i rashoda-ekonom'!G48+'račun prihoda i rashoda-ekonom'!G68</f>
        <v>4580.4799999999996</v>
      </c>
      <c r="G28" s="461">
        <f t="shared" si="1"/>
        <v>82.281657604058324</v>
      </c>
      <c r="H28" s="486">
        <f t="shared" si="2"/>
        <v>65.43542857142856</v>
      </c>
    </row>
    <row r="29" spans="1:8" s="446" customFormat="1" ht="13.8" x14ac:dyDescent="0.3">
      <c r="A29" s="500" t="s">
        <v>298</v>
      </c>
      <c r="B29" s="472"/>
      <c r="C29" s="186" t="s">
        <v>299</v>
      </c>
      <c r="D29" s="61">
        <f>D30</f>
        <v>6131</v>
      </c>
      <c r="E29" s="61">
        <f t="shared" ref="E29:F29" si="4">E30</f>
        <v>9500</v>
      </c>
      <c r="F29" s="61">
        <f t="shared" si="4"/>
        <v>5668.94</v>
      </c>
      <c r="G29" s="59">
        <f t="shared" si="1"/>
        <v>92.463545914206478</v>
      </c>
      <c r="H29" s="72">
        <f t="shared" si="2"/>
        <v>59.67305263157894</v>
      </c>
    </row>
    <row r="30" spans="1:8" s="463" customFormat="1" ht="12" x14ac:dyDescent="0.3">
      <c r="A30" s="499"/>
      <c r="B30" s="471" t="s">
        <v>86</v>
      </c>
      <c r="C30" s="190" t="s">
        <v>93</v>
      </c>
      <c r="D30" s="460">
        <f>'račun prihoda i rashoda-ekonom'!E42</f>
        <v>6131</v>
      </c>
      <c r="E30" s="460">
        <f>'račun prihoda i rashoda-ekonom'!F42</f>
        <v>9500</v>
      </c>
      <c r="F30" s="460">
        <f>'račun prihoda i rashoda-ekonom'!G42</f>
        <v>5668.94</v>
      </c>
      <c r="G30" s="461">
        <f t="shared" si="1"/>
        <v>92.463545914206478</v>
      </c>
      <c r="H30" s="486">
        <f t="shared" si="2"/>
        <v>59.67305263157894</v>
      </c>
    </row>
    <row r="31" spans="1:8" s="176" customFormat="1" ht="12" x14ac:dyDescent="0.3">
      <c r="A31" s="502" t="s">
        <v>307</v>
      </c>
      <c r="B31" s="477"/>
      <c r="C31" s="189" t="s">
        <v>296</v>
      </c>
      <c r="D31" s="173">
        <f>SUM(D32:D36)</f>
        <v>1426098.6300000001</v>
      </c>
      <c r="E31" s="173">
        <f>SUM(E32:E36)</f>
        <v>1449420</v>
      </c>
      <c r="F31" s="173">
        <f>SUM(F32:F36)</f>
        <v>731987.2</v>
      </c>
      <c r="G31" s="174">
        <f t="shared" si="1"/>
        <v>51.327950578004547</v>
      </c>
      <c r="H31" s="185">
        <f t="shared" si="2"/>
        <v>50.502076692746058</v>
      </c>
    </row>
    <row r="32" spans="1:8" s="463" customFormat="1" ht="12" x14ac:dyDescent="0.3">
      <c r="A32" s="501"/>
      <c r="B32" s="485" t="s">
        <v>327</v>
      </c>
      <c r="C32" s="180" t="s">
        <v>87</v>
      </c>
      <c r="D32" s="460">
        <f>'račun prihoda i rashoda-ekonom'!E27+'račun prihoda i rashoda-ekonom'!E30</f>
        <v>1310104.69</v>
      </c>
      <c r="E32" s="460">
        <f>'račun prihoda i rashoda-ekonom'!F27+'račun prihoda i rashoda-ekonom'!F30</f>
        <v>1338000</v>
      </c>
      <c r="F32" s="460">
        <f>'račun prihoda i rashoda-ekonom'!G27+'račun prihoda i rashoda-ekonom'!G30</f>
        <v>688755.25</v>
      </c>
      <c r="G32" s="461">
        <f t="shared" si="1"/>
        <v>52.572535252888841</v>
      </c>
      <c r="H32" s="486">
        <f t="shared" si="2"/>
        <v>51.476476083707027</v>
      </c>
    </row>
    <row r="33" spans="1:8" s="463" customFormat="1" ht="12" x14ac:dyDescent="0.3">
      <c r="A33" s="501"/>
      <c r="B33" s="485" t="s">
        <v>328</v>
      </c>
      <c r="C33" s="180" t="s">
        <v>102</v>
      </c>
      <c r="D33" s="460">
        <f>'račun prihoda i rashoda-ekonom'!E59</f>
        <v>65514.49</v>
      </c>
      <c r="E33" s="460">
        <f>'račun prihoda i rashoda-ekonom'!F59</f>
        <v>45120</v>
      </c>
      <c r="F33" s="460">
        <f>'račun prihoda i rashoda-ekonom'!G59</f>
        <v>30436.83</v>
      </c>
      <c r="G33" s="461">
        <f t="shared" ref="G33:G35" si="5">F33/D33*100</f>
        <v>46.458165208948436</v>
      </c>
      <c r="H33" s="486">
        <f t="shared" ref="H33:H35" si="6">F33/E33*100</f>
        <v>67.457513297872339</v>
      </c>
    </row>
    <row r="34" spans="1:8" s="463" customFormat="1" ht="12" x14ac:dyDescent="0.3">
      <c r="A34" s="501"/>
      <c r="B34" s="485" t="s">
        <v>329</v>
      </c>
      <c r="C34" s="180" t="s">
        <v>332</v>
      </c>
      <c r="D34" s="460">
        <f>'račun prihoda i rashoda-ekonom'!E60</f>
        <v>0</v>
      </c>
      <c r="E34" s="460">
        <f>'račun prihoda i rashoda-ekonom'!F60</f>
        <v>0</v>
      </c>
      <c r="F34" s="460">
        <f>'račun prihoda i rashoda-ekonom'!G60</f>
        <v>0</v>
      </c>
      <c r="G34" s="461" t="e">
        <f t="shared" si="5"/>
        <v>#DIV/0!</v>
      </c>
      <c r="H34" s="486" t="e">
        <f t="shared" si="6"/>
        <v>#DIV/0!</v>
      </c>
    </row>
    <row r="35" spans="1:8" s="463" customFormat="1" ht="12" x14ac:dyDescent="0.3">
      <c r="A35" s="501"/>
      <c r="B35" s="485" t="s">
        <v>330</v>
      </c>
      <c r="C35" s="180" t="s">
        <v>308</v>
      </c>
      <c r="D35" s="460">
        <f>'račun prihoda i rashoda-ekonom'!E61</f>
        <v>2212.33</v>
      </c>
      <c r="E35" s="460">
        <f>'račun prihoda i rashoda-ekonom'!F61</f>
        <v>4000</v>
      </c>
      <c r="F35" s="460">
        <f>'račun prihoda i rashoda-ekonom'!G61</f>
        <v>918.28</v>
      </c>
      <c r="G35" s="461">
        <f t="shared" si="5"/>
        <v>41.507370057812352</v>
      </c>
      <c r="H35" s="486">
        <f t="shared" si="6"/>
        <v>22.957000000000001</v>
      </c>
    </row>
    <row r="36" spans="1:8" s="463" customFormat="1" ht="12" x14ac:dyDescent="0.3">
      <c r="A36" s="501"/>
      <c r="B36" s="485" t="s">
        <v>331</v>
      </c>
      <c r="C36" s="180" t="s">
        <v>309</v>
      </c>
      <c r="D36" s="460">
        <f>'račun prihoda i rashoda-ekonom'!E28+'račun prihoda i rashoda-ekonom'!E31</f>
        <v>48267.12</v>
      </c>
      <c r="E36" s="460">
        <f>'račun prihoda i rashoda-ekonom'!F28+'račun prihoda i rashoda-ekonom'!F31</f>
        <v>62300</v>
      </c>
      <c r="F36" s="460">
        <f>'račun prihoda i rashoda-ekonom'!G28+'račun prihoda i rashoda-ekonom'!G31</f>
        <v>11876.84</v>
      </c>
      <c r="G36" s="461">
        <f t="shared" si="1"/>
        <v>24.606481596581688</v>
      </c>
      <c r="H36" s="486">
        <f t="shared" si="2"/>
        <v>19.063948635634027</v>
      </c>
    </row>
    <row r="37" spans="1:8" s="27" customFormat="1" x14ac:dyDescent="0.3">
      <c r="A37" s="503" t="s">
        <v>287</v>
      </c>
      <c r="B37" s="474"/>
      <c r="C37" s="5" t="s">
        <v>300</v>
      </c>
      <c r="D37" s="61">
        <f>D38+D39</f>
        <v>700</v>
      </c>
      <c r="E37" s="61">
        <f t="shared" ref="E37:F37" si="7">E38+E39</f>
        <v>600</v>
      </c>
      <c r="F37" s="61">
        <f t="shared" si="7"/>
        <v>26.58</v>
      </c>
      <c r="G37" s="59">
        <f t="shared" si="1"/>
        <v>3.7971428571428567</v>
      </c>
      <c r="H37" s="73">
        <f t="shared" si="2"/>
        <v>4.43</v>
      </c>
    </row>
    <row r="38" spans="1:8" s="463" customFormat="1" ht="12" x14ac:dyDescent="0.3">
      <c r="A38" s="499"/>
      <c r="B38" s="471" t="s">
        <v>311</v>
      </c>
      <c r="C38" s="190" t="s">
        <v>96</v>
      </c>
      <c r="D38" s="460">
        <f>'račun prihoda i rashoda-ekonom'!E51</f>
        <v>700</v>
      </c>
      <c r="E38" s="460">
        <f>'račun prihoda i rashoda-ekonom'!F51</f>
        <v>600</v>
      </c>
      <c r="F38" s="460">
        <f>'račun prihoda i rashoda-ekonom'!G51</f>
        <v>26.58</v>
      </c>
      <c r="G38" s="461">
        <f t="shared" ref="G38" si="8">F38/D38*100</f>
        <v>3.7971428571428567</v>
      </c>
      <c r="H38" s="486">
        <f t="shared" ref="H38" si="9">F38/E38*100</f>
        <v>4.43</v>
      </c>
    </row>
    <row r="39" spans="1:8" s="463" customFormat="1" ht="12" x14ac:dyDescent="0.3">
      <c r="A39" s="499"/>
      <c r="B39" s="471" t="s">
        <v>312</v>
      </c>
      <c r="C39" s="190" t="s">
        <v>98</v>
      </c>
      <c r="D39" s="460">
        <f>'račun prihoda i rashoda-ekonom'!E53</f>
        <v>0</v>
      </c>
      <c r="E39" s="460">
        <f>'račun prihoda i rashoda-ekonom'!F53</f>
        <v>0</v>
      </c>
      <c r="F39" s="460">
        <f>'račun prihoda i rashoda-ekonom'!G53</f>
        <v>0</v>
      </c>
      <c r="G39" s="461" t="e">
        <f t="shared" si="1"/>
        <v>#DIV/0!</v>
      </c>
      <c r="H39" s="486" t="e">
        <f t="shared" si="2"/>
        <v>#DIV/0!</v>
      </c>
    </row>
    <row r="40" spans="1:8" s="450" customFormat="1" ht="13.8" x14ac:dyDescent="0.3">
      <c r="A40" s="504" t="s">
        <v>289</v>
      </c>
      <c r="B40" s="473"/>
      <c r="C40" s="447" t="s">
        <v>2</v>
      </c>
      <c r="D40" s="448">
        <f>D41</f>
        <v>0</v>
      </c>
      <c r="E40" s="448">
        <f t="shared" ref="E40:F40" si="10">E41</f>
        <v>0</v>
      </c>
      <c r="F40" s="448">
        <f t="shared" si="10"/>
        <v>0</v>
      </c>
      <c r="G40" s="443" t="e">
        <f t="shared" si="1"/>
        <v>#DIV/0!</v>
      </c>
      <c r="H40" s="449" t="e">
        <f t="shared" si="2"/>
        <v>#DIV/0!</v>
      </c>
    </row>
    <row r="41" spans="1:8" s="463" customFormat="1" ht="12.6" thickBot="1" x14ac:dyDescent="0.35">
      <c r="A41" s="505"/>
      <c r="B41" s="506" t="s">
        <v>314</v>
      </c>
      <c r="C41" s="200" t="s">
        <v>105</v>
      </c>
      <c r="D41" s="492">
        <f>'račun prihoda i rashoda-ekonom'!E73</f>
        <v>0</v>
      </c>
      <c r="E41" s="492">
        <f>'račun prihoda i rashoda-ekonom'!F73</f>
        <v>0</v>
      </c>
      <c r="F41" s="492">
        <f>'račun prihoda i rashoda-ekonom'!G73</f>
        <v>0</v>
      </c>
      <c r="G41" s="507" t="e">
        <f t="shared" si="1"/>
        <v>#DIV/0!</v>
      </c>
      <c r="H41" s="508" t="e">
        <f t="shared" si="2"/>
        <v>#DIV/0!</v>
      </c>
    </row>
    <row r="42" spans="1:8" s="183" customFormat="1" ht="12" x14ac:dyDescent="0.3">
      <c r="A42" s="452"/>
      <c r="B42" s="480"/>
      <c r="C42" s="453"/>
      <c r="D42" s="454"/>
      <c r="E42" s="454"/>
      <c r="F42" s="454"/>
      <c r="G42" s="454"/>
      <c r="H42" s="454"/>
    </row>
    <row r="43" spans="1:8" s="455" customFormat="1" ht="13.8" x14ac:dyDescent="0.3">
      <c r="A43" s="615" t="s">
        <v>301</v>
      </c>
      <c r="B43" s="616"/>
      <c r="C43" s="616"/>
      <c r="D43" s="616"/>
      <c r="E43" s="616"/>
      <c r="F43" s="616"/>
      <c r="G43" s="616"/>
      <c r="H43" s="616"/>
    </row>
    <row r="44" spans="1:8" s="183" customFormat="1" ht="12.6" thickBot="1" x14ac:dyDescent="0.35">
      <c r="A44" s="452"/>
      <c r="B44" s="480"/>
      <c r="C44" s="453"/>
      <c r="D44" s="454"/>
      <c r="E44" s="454"/>
      <c r="F44" s="454"/>
      <c r="G44" s="454"/>
      <c r="H44" s="454"/>
    </row>
    <row r="45" spans="1:8" ht="27" thickBot="1" x14ac:dyDescent="0.35">
      <c r="A45" s="552" t="s">
        <v>15</v>
      </c>
      <c r="B45" s="467" t="s">
        <v>15</v>
      </c>
      <c r="C45" s="32" t="s">
        <v>11</v>
      </c>
      <c r="D45" s="67" t="s">
        <v>318</v>
      </c>
      <c r="E45" s="53" t="s">
        <v>319</v>
      </c>
      <c r="F45" s="53" t="s">
        <v>320</v>
      </c>
      <c r="G45" s="34" t="s">
        <v>113</v>
      </c>
      <c r="H45" s="34" t="s">
        <v>113</v>
      </c>
    </row>
    <row r="46" spans="1:8" s="105" customFormat="1" ht="15" thickBot="1" x14ac:dyDescent="0.35">
      <c r="A46" s="125"/>
      <c r="B46" s="468"/>
      <c r="C46" s="126">
        <v>1</v>
      </c>
      <c r="D46" s="127">
        <v>2</v>
      </c>
      <c r="E46" s="128">
        <v>3</v>
      </c>
      <c r="F46" s="128">
        <v>4</v>
      </c>
      <c r="G46" s="129" t="s">
        <v>175</v>
      </c>
      <c r="H46" s="130" t="s">
        <v>176</v>
      </c>
    </row>
    <row r="47" spans="1:8" s="27" customFormat="1" x14ac:dyDescent="0.3">
      <c r="A47" s="30">
        <v>9</v>
      </c>
      <c r="B47" s="478"/>
      <c r="C47" s="10" t="s">
        <v>315</v>
      </c>
      <c r="D47" s="61">
        <f>SUM(D48:D53)</f>
        <v>0</v>
      </c>
      <c r="E47" s="61">
        <f t="shared" ref="E47:F47" si="11">SUM(E48:E53)</f>
        <v>0</v>
      </c>
      <c r="F47" s="61">
        <f t="shared" si="11"/>
        <v>0</v>
      </c>
      <c r="G47" s="59" t="e">
        <f t="shared" si="1"/>
        <v>#DIV/0!</v>
      </c>
      <c r="H47" s="73" t="e">
        <f t="shared" si="2"/>
        <v>#DIV/0!</v>
      </c>
    </row>
    <row r="48" spans="1:8" s="463" customFormat="1" ht="12" x14ac:dyDescent="0.3">
      <c r="A48" s="171"/>
      <c r="B48" s="471" t="s">
        <v>313</v>
      </c>
      <c r="C48" s="190" t="s">
        <v>16</v>
      </c>
      <c r="D48" s="460">
        <f>'račun prihoda i rashoda-ekonom'!E78</f>
        <v>0</v>
      </c>
      <c r="E48" s="460">
        <f>'račun prihoda i rashoda-ekonom'!F78</f>
        <v>0</v>
      </c>
      <c r="F48" s="460">
        <f>'račun prihoda i rashoda-ekonom'!G78</f>
        <v>0</v>
      </c>
      <c r="G48" s="461" t="e">
        <f t="shared" si="1"/>
        <v>#DIV/0!</v>
      </c>
      <c r="H48" s="486" t="e">
        <f t="shared" si="2"/>
        <v>#DIV/0!</v>
      </c>
    </row>
    <row r="49" spans="1:8" s="463" customFormat="1" ht="12" x14ac:dyDescent="0.3">
      <c r="A49" s="171"/>
      <c r="B49" s="471" t="s">
        <v>281</v>
      </c>
      <c r="C49" s="180" t="s">
        <v>244</v>
      </c>
      <c r="D49" s="460">
        <f>'račun prihoda i rashoda-ekonom'!E79</f>
        <v>0</v>
      </c>
      <c r="E49" s="460">
        <f>'račun prihoda i rashoda-ekonom'!F79</f>
        <v>0</v>
      </c>
      <c r="F49" s="460">
        <f>'račun prihoda i rashoda-ekonom'!G79</f>
        <v>0</v>
      </c>
      <c r="G49" s="461" t="e">
        <f t="shared" si="1"/>
        <v>#DIV/0!</v>
      </c>
      <c r="H49" s="486" t="e">
        <f t="shared" si="2"/>
        <v>#DIV/0!</v>
      </c>
    </row>
    <row r="50" spans="1:8" s="463" customFormat="1" ht="12" x14ac:dyDescent="0.3">
      <c r="A50" s="171"/>
      <c r="B50" s="471" t="s">
        <v>298</v>
      </c>
      <c r="C50" s="180" t="s">
        <v>245</v>
      </c>
      <c r="D50" s="460">
        <f>'račun prihoda i rashoda-ekonom'!E80</f>
        <v>0</v>
      </c>
      <c r="E50" s="460">
        <f>'račun prihoda i rashoda-ekonom'!F80</f>
        <v>0</v>
      </c>
      <c r="F50" s="460">
        <f>'račun prihoda i rashoda-ekonom'!G80</f>
        <v>0</v>
      </c>
      <c r="G50" s="461" t="e">
        <f t="shared" si="1"/>
        <v>#DIV/0!</v>
      </c>
      <c r="H50" s="486" t="e">
        <f t="shared" si="2"/>
        <v>#DIV/0!</v>
      </c>
    </row>
    <row r="51" spans="1:8" s="463" customFormat="1" ht="12" x14ac:dyDescent="0.3">
      <c r="A51" s="171"/>
      <c r="B51" s="471" t="s">
        <v>307</v>
      </c>
      <c r="C51" s="180" t="s">
        <v>196</v>
      </c>
      <c r="D51" s="460">
        <f>'račun prihoda i rashoda-ekonom'!E81+'račun prihoda i rashoda-ekonom'!E82</f>
        <v>0</v>
      </c>
      <c r="E51" s="460">
        <f>'račun prihoda i rashoda-ekonom'!F81+'račun prihoda i rashoda-ekonom'!F82</f>
        <v>0</v>
      </c>
      <c r="F51" s="460">
        <f>'račun prihoda i rashoda-ekonom'!G81+'račun prihoda i rashoda-ekonom'!G82</f>
        <v>0</v>
      </c>
      <c r="G51" s="461" t="e">
        <f t="shared" si="1"/>
        <v>#DIV/0!</v>
      </c>
      <c r="H51" s="486" t="e">
        <f t="shared" si="2"/>
        <v>#DIV/0!</v>
      </c>
    </row>
    <row r="52" spans="1:8" s="463" customFormat="1" ht="12" x14ac:dyDescent="0.3">
      <c r="A52" s="495"/>
      <c r="B52" s="487" t="s">
        <v>287</v>
      </c>
      <c r="C52" s="203" t="s">
        <v>246</v>
      </c>
      <c r="D52" s="488">
        <f>'račun prihoda i rashoda-ekonom'!E83</f>
        <v>0</v>
      </c>
      <c r="E52" s="488">
        <f>'račun prihoda i rashoda-ekonom'!F83</f>
        <v>0</v>
      </c>
      <c r="F52" s="488">
        <f>'račun prihoda i rashoda-ekonom'!G83</f>
        <v>0</v>
      </c>
      <c r="G52" s="489" t="e">
        <f t="shared" si="1"/>
        <v>#DIV/0!</v>
      </c>
      <c r="H52" s="490" t="e">
        <f t="shared" si="2"/>
        <v>#DIV/0!</v>
      </c>
    </row>
    <row r="53" spans="1:8" s="463" customFormat="1" ht="12.6" thickBot="1" x14ac:dyDescent="0.35">
      <c r="A53" s="496"/>
      <c r="B53" s="491" t="s">
        <v>289</v>
      </c>
      <c r="C53" s="200" t="s">
        <v>17</v>
      </c>
      <c r="D53" s="492">
        <f>'račun prihoda i rashoda-ekonom'!E84</f>
        <v>0</v>
      </c>
      <c r="E53" s="493">
        <f>'račun prihoda i rashoda-ekonom'!F84</f>
        <v>0</v>
      </c>
      <c r="F53" s="493">
        <f>'račun prihoda i rashoda-ekonom'!G84</f>
        <v>0</v>
      </c>
      <c r="G53" s="493" t="e">
        <f t="shared" si="1"/>
        <v>#DIV/0!</v>
      </c>
      <c r="H53" s="494" t="e">
        <f t="shared" si="2"/>
        <v>#DIV/0!</v>
      </c>
    </row>
    <row r="54" spans="1:8" s="28" customFormat="1" x14ac:dyDescent="0.3">
      <c r="B54" s="481"/>
      <c r="D54" s="29"/>
      <c r="E54" s="29"/>
      <c r="F54" s="29"/>
      <c r="G54" s="29"/>
      <c r="H54" s="29"/>
    </row>
    <row r="55" spans="1:8" s="28" customFormat="1" ht="15.6" x14ac:dyDescent="0.3">
      <c r="A55" s="589" t="s">
        <v>18</v>
      </c>
      <c r="B55" s="613"/>
      <c r="C55" s="613"/>
      <c r="D55" s="613"/>
      <c r="E55" s="613"/>
      <c r="F55" s="613"/>
      <c r="G55" s="613"/>
      <c r="H55" s="613"/>
    </row>
    <row r="56" spans="1:8" s="28" customFormat="1" ht="18" thickBot="1" x14ac:dyDescent="0.35">
      <c r="A56" s="3"/>
      <c r="B56" s="466"/>
      <c r="C56" s="3"/>
      <c r="D56" s="14"/>
      <c r="E56" s="14"/>
      <c r="F56" s="14"/>
      <c r="G56" s="26"/>
      <c r="H56" s="26"/>
    </row>
    <row r="57" spans="1:8" s="28" customFormat="1" ht="27" thickBot="1" x14ac:dyDescent="0.35">
      <c r="A57" s="552" t="s">
        <v>15</v>
      </c>
      <c r="B57" s="467" t="s">
        <v>15</v>
      </c>
      <c r="C57" s="37" t="s">
        <v>11</v>
      </c>
      <c r="D57" s="67" t="s">
        <v>318</v>
      </c>
      <c r="E57" s="53" t="s">
        <v>319</v>
      </c>
      <c r="F57" s="53" t="s">
        <v>320</v>
      </c>
      <c r="G57" s="34" t="s">
        <v>113</v>
      </c>
      <c r="H57" s="34" t="s">
        <v>113</v>
      </c>
    </row>
    <row r="58" spans="1:8" s="131" customFormat="1" ht="15" thickBot="1" x14ac:dyDescent="0.35">
      <c r="A58" s="132"/>
      <c r="B58" s="482"/>
      <c r="C58" s="133">
        <v>1</v>
      </c>
      <c r="D58" s="169">
        <v>2</v>
      </c>
      <c r="E58" s="170">
        <v>3</v>
      </c>
      <c r="F58" s="170">
        <v>4</v>
      </c>
      <c r="G58" s="134" t="s">
        <v>175</v>
      </c>
      <c r="H58" s="135" t="s">
        <v>176</v>
      </c>
    </row>
    <row r="59" spans="1:8" s="27" customFormat="1" x14ac:dyDescent="0.3">
      <c r="A59" s="497"/>
      <c r="B59" s="469"/>
      <c r="C59" s="39" t="s">
        <v>25</v>
      </c>
      <c r="D59" s="440">
        <f>D60+D63+D65+D67+D73+D76</f>
        <v>1708201.07</v>
      </c>
      <c r="E59" s="440">
        <f t="shared" ref="E59:F59" si="12">E60+E63+E65+E67+E73+E76</f>
        <v>1757279.91</v>
      </c>
      <c r="F59" s="440">
        <f t="shared" si="12"/>
        <v>833316.43</v>
      </c>
      <c r="G59" s="440">
        <f>F59/D59*100</f>
        <v>48.783275261617767</v>
      </c>
      <c r="H59" s="441">
        <f>F59/E59*100</f>
        <v>47.420813568624936</v>
      </c>
    </row>
    <row r="60" spans="1:8" s="445" customFormat="1" x14ac:dyDescent="0.3">
      <c r="A60" s="498">
        <v>1</v>
      </c>
      <c r="B60" s="470"/>
      <c r="C60" s="442" t="s">
        <v>48</v>
      </c>
      <c r="D60" s="443">
        <f>D61+D62</f>
        <v>151959.42000000001</v>
      </c>
      <c r="E60" s="443">
        <f t="shared" ref="E60:F60" si="13">E61+E62</f>
        <v>236759.91</v>
      </c>
      <c r="F60" s="443">
        <f t="shared" si="13"/>
        <v>62448.849999999991</v>
      </c>
      <c r="G60" s="443">
        <f t="shared" ref="G60:G68" si="14">F60/D60*100</f>
        <v>41.095741218280502</v>
      </c>
      <c r="H60" s="444">
        <f t="shared" ref="H60:H68" si="15">F60/E60*100</f>
        <v>26.376446079912764</v>
      </c>
    </row>
    <row r="61" spans="1:8" s="463" customFormat="1" ht="12" x14ac:dyDescent="0.3">
      <c r="A61" s="499"/>
      <c r="B61" s="471" t="s">
        <v>99</v>
      </c>
      <c r="C61" s="190" t="s">
        <v>16</v>
      </c>
      <c r="D61" s="460">
        <f>'račun prihoda i rashoda-ekonom'!E94+'račun prihoda i rashoda-ekonom'!E105+'račun prihoda i rashoda-ekonom'!E112+'račun prihoda i rashoda-ekonom'!E119+'račun prihoda i rashoda-ekonom'!E126+'račun prihoda i rashoda-ekonom'!E135+'račun prihoda i rashoda-ekonom'!E149+'račun prihoda i rashoda-ekonom'!E185+'račun prihoda i rashoda-ekonom'!E190+'račun prihoda i rashoda-ekonom'!E221+'račun prihoda i rashoda-ekonom'!E248+'račun prihoda i rashoda-ekonom'!E261+'račun prihoda i rashoda-ekonom'!E288</f>
        <v>64585.729999999996</v>
      </c>
      <c r="E61" s="460">
        <f>'račun prihoda i rashoda-ekonom'!F94+'račun prihoda i rashoda-ekonom'!F105+'račun prihoda i rashoda-ekonom'!F112+'račun prihoda i rashoda-ekonom'!F119+'račun prihoda i rashoda-ekonom'!F126+'račun prihoda i rashoda-ekonom'!F135+'račun prihoda i rashoda-ekonom'!F149+'račun prihoda i rashoda-ekonom'!F185+'račun prihoda i rashoda-ekonom'!F190+'račun prihoda i rashoda-ekonom'!F221+'račun prihoda i rashoda-ekonom'!F248+'račun prihoda i rashoda-ekonom'!F261+'račun prihoda i rashoda-ekonom'!F288</f>
        <v>58752</v>
      </c>
      <c r="F61" s="460">
        <f>'račun prihoda i rashoda-ekonom'!G94+'račun prihoda i rashoda-ekonom'!G105+'račun prihoda i rashoda-ekonom'!G112+'račun prihoda i rashoda-ekonom'!G119+'račun prihoda i rashoda-ekonom'!G126+'račun prihoda i rashoda-ekonom'!G135+'račun prihoda i rashoda-ekonom'!G149+'račun prihoda i rashoda-ekonom'!G185+'račun prihoda i rashoda-ekonom'!G190+'račun prihoda i rashoda-ekonom'!G221+'račun prihoda i rashoda-ekonom'!G248+'račun prihoda i rashoda-ekonom'!G261+'račun prihoda i rashoda-ekonom'!G288</f>
        <v>19114.87</v>
      </c>
      <c r="G61" s="461">
        <f t="shared" si="14"/>
        <v>29.596119762058891</v>
      </c>
      <c r="H61" s="462">
        <f t="shared" si="15"/>
        <v>32.534841367102395</v>
      </c>
    </row>
    <row r="62" spans="1:8" s="463" customFormat="1" ht="12" x14ac:dyDescent="0.3">
      <c r="A62" s="499"/>
      <c r="B62" s="471" t="s">
        <v>100</v>
      </c>
      <c r="C62" s="190" t="s">
        <v>305</v>
      </c>
      <c r="D62" s="460">
        <f>'račun prihoda i rashoda-ekonom'!E120+'račun prihoda i rashoda-ekonom'!E131+'račun prihoda i rashoda-ekonom'!E136+'račun prihoda i rashoda-ekonom'!E150+'račun prihoda i rashoda-ekonom'!E153+'račun prihoda i rashoda-ekonom'!E158+'račun prihoda i rashoda-ekonom'!E165+'račun prihoda i rashoda-ekonom'!E168+'račun prihoda i rashoda-ekonom'!E174+'račun prihoda i rashoda-ekonom'!E179+'račun prihoda i rashoda-ekonom'!E182+'račun prihoda i rashoda-ekonom'!E186+'račun prihoda i rashoda-ekonom'!E191+'račun prihoda i rashoda-ekonom'!E197+'račun prihoda i rashoda-ekonom'!E200+'račun prihoda i rashoda-ekonom'!E205+'račun prihoda i rashoda-ekonom'!E208+'račun prihoda i rashoda-ekonom'!E212+'račun prihoda i rashoda-ekonom'!E216+'račun prihoda i rashoda-ekonom'!E222+'račun prihoda i rashoda-ekonom'!E230+'račun prihoda i rashoda-ekonom'!E233+'račun prihoda i rashoda-ekonom'!E249+'račun prihoda i rashoda-ekonom'!E266+'račun prihoda i rashoda-ekonom'!E275+'račun prihoda i rashoda-ekonom'!E282+'račun prihoda i rashoda-ekonom'!E289</f>
        <v>87373.690000000017</v>
      </c>
      <c r="E62" s="460">
        <f>'račun prihoda i rashoda-ekonom'!F120+'račun prihoda i rashoda-ekonom'!F131+'račun prihoda i rashoda-ekonom'!F136+'račun prihoda i rashoda-ekonom'!F150+'račun prihoda i rashoda-ekonom'!F153+'račun prihoda i rashoda-ekonom'!F158+'račun prihoda i rashoda-ekonom'!F165+'račun prihoda i rashoda-ekonom'!F168+'račun prihoda i rashoda-ekonom'!F174+'račun prihoda i rashoda-ekonom'!F179+'račun prihoda i rashoda-ekonom'!F182+'račun prihoda i rashoda-ekonom'!F186+'račun prihoda i rashoda-ekonom'!F191+'račun prihoda i rashoda-ekonom'!F197+'račun prihoda i rashoda-ekonom'!F200+'račun prihoda i rashoda-ekonom'!F205+'račun prihoda i rashoda-ekonom'!F208+'račun prihoda i rashoda-ekonom'!F212+'račun prihoda i rashoda-ekonom'!F216+'račun prihoda i rashoda-ekonom'!F222+'račun prihoda i rashoda-ekonom'!F230+'račun prihoda i rashoda-ekonom'!F233+'račun prihoda i rashoda-ekonom'!F249+'račun prihoda i rashoda-ekonom'!F266+'račun prihoda i rashoda-ekonom'!F275+'račun prihoda i rashoda-ekonom'!F282+'račun prihoda i rashoda-ekonom'!F289</f>
        <v>178007.91</v>
      </c>
      <c r="F62" s="460">
        <f>'račun prihoda i rashoda-ekonom'!G120+'račun prihoda i rashoda-ekonom'!G131+'račun prihoda i rashoda-ekonom'!G136+'račun prihoda i rashoda-ekonom'!G150+'račun prihoda i rashoda-ekonom'!G153+'račun prihoda i rashoda-ekonom'!G158+'račun prihoda i rashoda-ekonom'!G165+'račun prihoda i rashoda-ekonom'!G168+'račun prihoda i rashoda-ekonom'!G174+'račun prihoda i rashoda-ekonom'!G179+'račun prihoda i rashoda-ekonom'!G182+'račun prihoda i rashoda-ekonom'!G186+'račun prihoda i rashoda-ekonom'!G191+'račun prihoda i rashoda-ekonom'!G197+'račun prihoda i rashoda-ekonom'!G200+'račun prihoda i rashoda-ekonom'!G205+'račun prihoda i rashoda-ekonom'!G208+'račun prihoda i rashoda-ekonom'!G212+'račun prihoda i rashoda-ekonom'!G216+'račun prihoda i rashoda-ekonom'!G222+'račun prihoda i rashoda-ekonom'!G230+'račun prihoda i rashoda-ekonom'!G233+'račun prihoda i rashoda-ekonom'!G249+'račun prihoda i rashoda-ekonom'!G266+'račun prihoda i rashoda-ekonom'!G275+'račun prihoda i rashoda-ekonom'!G282+'račun prihoda i rashoda-ekonom'!G289</f>
        <v>43333.979999999989</v>
      </c>
      <c r="G62" s="461">
        <f t="shared" si="14"/>
        <v>49.596142729006843</v>
      </c>
      <c r="H62" s="462">
        <f t="shared" si="15"/>
        <v>24.343850787304895</v>
      </c>
    </row>
    <row r="63" spans="1:8" s="446" customFormat="1" ht="13.8" x14ac:dyDescent="0.3">
      <c r="A63" s="500">
        <v>3</v>
      </c>
      <c r="B63" s="472"/>
      <c r="C63" s="5" t="s">
        <v>297</v>
      </c>
      <c r="D63" s="61">
        <f>D64</f>
        <v>2340.2399999999998</v>
      </c>
      <c r="E63" s="61">
        <f t="shared" ref="E63:F63" si="16">E64</f>
        <v>7000</v>
      </c>
      <c r="F63" s="61">
        <f t="shared" si="16"/>
        <v>1165.44</v>
      </c>
      <c r="G63" s="59">
        <f t="shared" si="14"/>
        <v>49.800020510716855</v>
      </c>
      <c r="H63" s="73">
        <f t="shared" si="15"/>
        <v>16.649142857142856</v>
      </c>
    </row>
    <row r="64" spans="1:8" s="463" customFormat="1" ht="12" x14ac:dyDescent="0.3">
      <c r="A64" s="501"/>
      <c r="B64" s="485" t="s">
        <v>306</v>
      </c>
      <c r="C64" s="190" t="s">
        <v>91</v>
      </c>
      <c r="D64" s="460">
        <f>'račun prihoda i rashoda-ekonom'!E121+'račun prihoda i rashoda-ekonom'!E137+'račun prihoda i rashoda-ekonom'!E154+'račun prihoda i rashoda-ekonom'!E169+'račun prihoda i rashoda-ekonom'!E175+'račun prihoda i rashoda-ekonom'!E183+'račun prihoda i rashoda-ekonom'!E192+'račun prihoda i rashoda-ekonom'!E201+'račun prihoda i rashoda-ekonom'!E209+'račun prihoda i rashoda-ekonom'!E213+'račun prihoda i rashoda-ekonom'!E223+'račun prihoda i rashoda-ekonom'!E231+'račun prihoda i rashoda-ekonom'!E242+'račun prihoda i rashoda-ekonom'!E250+'račun prihoda i rashoda-ekonom'!E267+'račun prihoda i rashoda-ekonom'!E276+'račun prihoda i rashoda-ekonom'!E283+'račun prihoda i rashoda-ekonom'!E258+'račun prihoda i rashoda-ekonom'!E159</f>
        <v>2340.2399999999998</v>
      </c>
      <c r="E64" s="460">
        <f>'račun prihoda i rashoda-ekonom'!F121+'račun prihoda i rashoda-ekonom'!F137+'račun prihoda i rashoda-ekonom'!F154+'račun prihoda i rashoda-ekonom'!F169+'račun prihoda i rashoda-ekonom'!F175+'račun prihoda i rashoda-ekonom'!F183+'račun prihoda i rashoda-ekonom'!F192+'račun prihoda i rashoda-ekonom'!F201+'račun prihoda i rashoda-ekonom'!F209+'račun prihoda i rashoda-ekonom'!F213+'račun prihoda i rashoda-ekonom'!F223+'račun prihoda i rashoda-ekonom'!F231+'račun prihoda i rashoda-ekonom'!F242+'račun prihoda i rashoda-ekonom'!F250+'račun prihoda i rashoda-ekonom'!F267+'račun prihoda i rashoda-ekonom'!F276+'račun prihoda i rashoda-ekonom'!F283+'račun prihoda i rashoda-ekonom'!F258+'račun prihoda i rashoda-ekonom'!F159</f>
        <v>7000</v>
      </c>
      <c r="F64" s="460">
        <f>'račun prihoda i rashoda-ekonom'!G121+'račun prihoda i rashoda-ekonom'!G137+'račun prihoda i rashoda-ekonom'!G154+'račun prihoda i rashoda-ekonom'!G169+'račun prihoda i rashoda-ekonom'!G175+'račun prihoda i rashoda-ekonom'!G183+'račun prihoda i rashoda-ekonom'!G192+'račun prihoda i rashoda-ekonom'!G201+'račun prihoda i rashoda-ekonom'!G209+'račun prihoda i rashoda-ekonom'!G213+'račun prihoda i rashoda-ekonom'!G223+'račun prihoda i rashoda-ekonom'!G231+'račun prihoda i rashoda-ekonom'!G242+'račun prihoda i rashoda-ekonom'!G250+'račun prihoda i rashoda-ekonom'!G267+'račun prihoda i rashoda-ekonom'!G276+'račun prihoda i rashoda-ekonom'!G283+'račun prihoda i rashoda-ekonom'!G258+'račun prihoda i rashoda-ekonom'!G159</f>
        <v>1165.44</v>
      </c>
      <c r="G64" s="461">
        <f t="shared" si="14"/>
        <v>49.800020510716855</v>
      </c>
      <c r="H64" s="486">
        <f t="shared" si="15"/>
        <v>16.649142857142856</v>
      </c>
    </row>
    <row r="65" spans="1:8" s="446" customFormat="1" ht="13.8" x14ac:dyDescent="0.3">
      <c r="A65" s="500" t="s">
        <v>298</v>
      </c>
      <c r="B65" s="472"/>
      <c r="C65" s="186" t="s">
        <v>299</v>
      </c>
      <c r="D65" s="61">
        <f>D66</f>
        <v>7111.39</v>
      </c>
      <c r="E65" s="61">
        <f t="shared" ref="E65:F65" si="17">E66</f>
        <v>9000</v>
      </c>
      <c r="F65" s="61">
        <f t="shared" si="17"/>
        <v>3842.13</v>
      </c>
      <c r="G65" s="59">
        <f t="shared" si="14"/>
        <v>54.027834220876649</v>
      </c>
      <c r="H65" s="72">
        <f t="shared" si="15"/>
        <v>42.690333333333335</v>
      </c>
    </row>
    <row r="66" spans="1:8" s="463" customFormat="1" ht="12" x14ac:dyDescent="0.3">
      <c r="A66" s="499"/>
      <c r="B66" s="471" t="s">
        <v>86</v>
      </c>
      <c r="C66" s="190" t="s">
        <v>93</v>
      </c>
      <c r="D66" s="460">
        <f>'račun prihoda i rashoda-ekonom'!E138+'račun prihoda i rashoda-ekonom'!E143+'račun prihoda i rashoda-ekonom'!E160+'račun prihoda i rashoda-ekonom'!E251+'račun prihoda i rashoda-ekonom'!E262+'račun prihoda i rashoda-ekonom'!E268</f>
        <v>7111.39</v>
      </c>
      <c r="E66" s="460">
        <f>'račun prihoda i rashoda-ekonom'!F138+'račun prihoda i rashoda-ekonom'!F143+'račun prihoda i rashoda-ekonom'!F160+'račun prihoda i rashoda-ekonom'!F251+'račun prihoda i rashoda-ekonom'!F262+'račun prihoda i rashoda-ekonom'!F268</f>
        <v>9000</v>
      </c>
      <c r="F66" s="460">
        <f>'račun prihoda i rashoda-ekonom'!G138+'račun prihoda i rashoda-ekonom'!G143+'račun prihoda i rashoda-ekonom'!G160+'račun prihoda i rashoda-ekonom'!G251+'račun prihoda i rashoda-ekonom'!G262+'račun prihoda i rashoda-ekonom'!G268</f>
        <v>3842.13</v>
      </c>
      <c r="G66" s="461">
        <f t="shared" si="14"/>
        <v>54.027834220876649</v>
      </c>
      <c r="H66" s="486">
        <f t="shared" si="15"/>
        <v>42.690333333333335</v>
      </c>
    </row>
    <row r="67" spans="1:8" s="176" customFormat="1" ht="12" x14ac:dyDescent="0.3">
      <c r="A67" s="502" t="s">
        <v>307</v>
      </c>
      <c r="B67" s="477"/>
      <c r="C67" s="189" t="s">
        <v>296</v>
      </c>
      <c r="D67" s="173">
        <f>SUM(D68:D72)</f>
        <v>1544146.04</v>
      </c>
      <c r="E67" s="173">
        <f t="shared" ref="E67:F67" si="18">SUM(E68:E72)</f>
        <v>1503420</v>
      </c>
      <c r="F67" s="173">
        <f t="shared" si="18"/>
        <v>765860.01</v>
      </c>
      <c r="G67" s="174">
        <f t="shared" si="14"/>
        <v>49.59764103659522</v>
      </c>
      <c r="H67" s="185">
        <f t="shared" si="15"/>
        <v>50.941188091152178</v>
      </c>
    </row>
    <row r="68" spans="1:8" s="463" customFormat="1" ht="12" x14ac:dyDescent="0.3">
      <c r="A68" s="501"/>
      <c r="B68" s="485" t="s">
        <v>327</v>
      </c>
      <c r="C68" s="180" t="s">
        <v>87</v>
      </c>
      <c r="D68" s="460">
        <f>'račun prihoda i rashoda-ekonom'!E95+'račun prihoda i rashoda-ekonom'!E100+'račun prihoda i rashoda-ekonom'!E102+'račun prihoda i rashoda-ekonom'!E106+'račun prihoda i rashoda-ekonom'!E113+'račun prihoda i rashoda-ekonom'!E122+'račun prihoda i rashoda-ekonom'!E127+'račun prihoda i rashoda-ekonom'!E139+'račun prihoda i rashoda-ekonom'!E144+'račun prihoda i rashoda-ekonom'!E161+'račun prihoda i rashoda-ekonom'!E170+'račun prihoda i rashoda-ekonom'!E180+'račun prihoda i rashoda-ekonom'!E187+'račun prihoda i rashoda-ekonom'!E193+'račun prihoda i rashoda-ekonom'!E217+'račun prihoda i rashoda-ekonom'!E224+'račun prihoda i rashoda-ekonom'!E234+'račun prihoda i rashoda-ekonom'!E238+'račun prihoda i rashoda-ekonom'!E243+'račun prihoda i rashoda-ekonom'!E269+'račun prihoda i rashoda-ekonom'!E277+'račun prihoda i rashoda-ekonom'!E132</f>
        <v>1444504.52</v>
      </c>
      <c r="E68" s="460">
        <f>'račun prihoda i rashoda-ekonom'!F95+'račun prihoda i rashoda-ekonom'!F100+'račun prihoda i rashoda-ekonom'!F102+'račun prihoda i rashoda-ekonom'!F106+'račun prihoda i rashoda-ekonom'!F113+'račun prihoda i rashoda-ekonom'!F122+'račun prihoda i rashoda-ekonom'!F127+'račun prihoda i rashoda-ekonom'!F139+'račun prihoda i rashoda-ekonom'!F144+'račun prihoda i rashoda-ekonom'!F161+'račun prihoda i rashoda-ekonom'!F170+'račun prihoda i rashoda-ekonom'!F180+'račun prihoda i rashoda-ekonom'!F187+'račun prihoda i rashoda-ekonom'!F193+'račun prihoda i rashoda-ekonom'!F217+'račun prihoda i rashoda-ekonom'!F224+'račun prihoda i rashoda-ekonom'!F234+'račun prihoda i rashoda-ekonom'!F238+'račun prihoda i rashoda-ekonom'!F243+'račun prihoda i rashoda-ekonom'!F269+'račun prihoda i rashoda-ekonom'!F277+'račun prihoda i rashoda-ekonom'!F132</f>
        <v>1392000</v>
      </c>
      <c r="F68" s="460">
        <f>'račun prihoda i rashoda-ekonom'!G95+'račun prihoda i rashoda-ekonom'!G100+'račun prihoda i rashoda-ekonom'!G102+'račun prihoda i rashoda-ekonom'!G106+'račun prihoda i rashoda-ekonom'!G113+'račun prihoda i rashoda-ekonom'!G122+'račun prihoda i rashoda-ekonom'!G127+'račun prihoda i rashoda-ekonom'!G139+'račun prihoda i rashoda-ekonom'!G144+'račun prihoda i rashoda-ekonom'!G161+'račun prihoda i rashoda-ekonom'!G170+'račun prihoda i rashoda-ekonom'!G180+'račun prihoda i rashoda-ekonom'!G187+'račun prihoda i rashoda-ekonom'!G193+'račun prihoda i rashoda-ekonom'!G217+'račun prihoda i rashoda-ekonom'!G224+'račun prihoda i rashoda-ekonom'!G234+'račun prihoda i rashoda-ekonom'!G238+'račun prihoda i rashoda-ekonom'!G243+'račun prihoda i rashoda-ekonom'!G269+'račun prihoda i rashoda-ekonom'!G277+'račun prihoda i rashoda-ekonom'!G132</f>
        <v>733480.6</v>
      </c>
      <c r="G68" s="461">
        <f t="shared" si="14"/>
        <v>50.777314286285517</v>
      </c>
      <c r="H68" s="486">
        <f t="shared" si="15"/>
        <v>52.692571839080458</v>
      </c>
    </row>
    <row r="69" spans="1:8" s="463" customFormat="1" ht="12" x14ac:dyDescent="0.3">
      <c r="A69" s="501"/>
      <c r="B69" s="485" t="s">
        <v>328</v>
      </c>
      <c r="C69" s="180" t="s">
        <v>102</v>
      </c>
      <c r="D69" s="460">
        <f>'račun prihoda i rashoda-ekonom'!E96+'račun prihoda i rashoda-ekonom'!E107+'račun prihoda i rashoda-ekonom'!E114+'račun prihoda i rashoda-ekonom'!E123+'račun prihoda i rashoda-ekonom'!E128+'račun prihoda i rashoda-ekonom'!E188</f>
        <v>42226.62</v>
      </c>
      <c r="E69" s="460">
        <f>'račun prihoda i rashoda-ekonom'!F96+'račun prihoda i rashoda-ekonom'!F107+'račun prihoda i rashoda-ekonom'!F114+'račun prihoda i rashoda-ekonom'!F123+'račun prihoda i rashoda-ekonom'!F128+'račun prihoda i rashoda-ekonom'!F188</f>
        <v>45120</v>
      </c>
      <c r="F69" s="460">
        <f>'račun prihoda i rashoda-ekonom'!G96+'račun prihoda i rashoda-ekonom'!G107+'račun prihoda i rashoda-ekonom'!G114+'račun prihoda i rashoda-ekonom'!G123+'račun prihoda i rashoda-ekonom'!G128+'račun prihoda i rashoda-ekonom'!G188</f>
        <v>15407.619999999999</v>
      </c>
      <c r="G69" s="461">
        <f t="shared" ref="G69:G71" si="19">F69/D69*100</f>
        <v>36.48793107286351</v>
      </c>
      <c r="H69" s="486">
        <f t="shared" ref="H69:H71" si="20">F69/E69*100</f>
        <v>34.148093971631205</v>
      </c>
    </row>
    <row r="70" spans="1:8" s="463" customFormat="1" ht="12" x14ac:dyDescent="0.3">
      <c r="A70" s="501"/>
      <c r="B70" s="485" t="s">
        <v>329</v>
      </c>
      <c r="C70" s="180" t="s">
        <v>332</v>
      </c>
      <c r="D70" s="460">
        <f>'račun prihoda i rashoda-ekonom'!E97</f>
        <v>0</v>
      </c>
      <c r="E70" s="460">
        <f>'račun prihoda i rashoda-ekonom'!F97</f>
        <v>0</v>
      </c>
      <c r="F70" s="460">
        <f>'račun prihoda i rashoda-ekonom'!G97</f>
        <v>0</v>
      </c>
      <c r="G70" s="461" t="e">
        <f t="shared" si="19"/>
        <v>#DIV/0!</v>
      </c>
      <c r="H70" s="486" t="e">
        <f t="shared" si="20"/>
        <v>#DIV/0!</v>
      </c>
    </row>
    <row r="71" spans="1:8" s="463" customFormat="1" ht="12" x14ac:dyDescent="0.3">
      <c r="A71" s="501"/>
      <c r="B71" s="485" t="s">
        <v>330</v>
      </c>
      <c r="C71" s="180" t="s">
        <v>308</v>
      </c>
      <c r="D71" s="460">
        <f>'račun prihoda i rashoda-ekonom'!E145</f>
        <v>2469.1999999999998</v>
      </c>
      <c r="E71" s="460">
        <f>'račun prihoda i rashoda-ekonom'!F145</f>
        <v>4000</v>
      </c>
      <c r="F71" s="460">
        <f>'račun prihoda i rashoda-ekonom'!G145</f>
        <v>785.41</v>
      </c>
      <c r="G71" s="461">
        <f t="shared" si="19"/>
        <v>31.808277984772399</v>
      </c>
      <c r="H71" s="486">
        <f t="shared" si="20"/>
        <v>19.635249999999999</v>
      </c>
    </row>
    <row r="72" spans="1:8" s="463" customFormat="1" ht="12" x14ac:dyDescent="0.3">
      <c r="A72" s="501"/>
      <c r="B72" s="485" t="s">
        <v>331</v>
      </c>
      <c r="C72" s="180" t="s">
        <v>309</v>
      </c>
      <c r="D72" s="460">
        <f>'račun prihoda i rashoda-ekonom'!E98+'račun prihoda i rashoda-ekonom'!E108+'račun prihoda i rashoda-ekonom'!E115+'račun prihoda i rashoda-ekonom'!E129+'račun prihoda i rashoda-ekonom'!E140+'račun prihoda i rashoda-ekonom'!E146+'račun prihoda i rashoda-ekonom'!E155+'račun prihoda i rashoda-ekonom'!E162+'račun prihoda i rashoda-ekonom'!E171+'račun prihoda i rashoda-ekonom'!E176+'račun prihoda i rashoda-ekonom'!E194+'račun prihoda i rashoda-ekonom'!E202+'račun prihoda i rashoda-ekonom'!E225+'račun prihoda i rashoda-ekonom'!E252+'račun prihoda i rashoda-ekonom'!E263+'račun prihoda i rashoda-ekonom'!E270+'račun prihoda i rashoda-ekonom'!E278+'račun prihoda i rashoda-ekonom'!E259</f>
        <v>54945.7</v>
      </c>
      <c r="E72" s="460">
        <f>'račun prihoda i rashoda-ekonom'!F98+'račun prihoda i rashoda-ekonom'!F108+'račun prihoda i rashoda-ekonom'!F115+'račun prihoda i rashoda-ekonom'!F129+'račun prihoda i rashoda-ekonom'!F140+'račun prihoda i rashoda-ekonom'!F146+'račun prihoda i rashoda-ekonom'!F155+'račun prihoda i rashoda-ekonom'!F162+'račun prihoda i rashoda-ekonom'!F171+'račun prihoda i rashoda-ekonom'!F176+'račun prihoda i rashoda-ekonom'!F194+'račun prihoda i rashoda-ekonom'!F202+'račun prihoda i rashoda-ekonom'!F225+'račun prihoda i rashoda-ekonom'!F252+'račun prihoda i rashoda-ekonom'!F263+'račun prihoda i rashoda-ekonom'!F270+'račun prihoda i rashoda-ekonom'!F278+'račun prihoda i rashoda-ekonom'!F259</f>
        <v>62300</v>
      </c>
      <c r="F72" s="460">
        <f>'račun prihoda i rashoda-ekonom'!G98+'račun prihoda i rashoda-ekonom'!G108+'račun prihoda i rashoda-ekonom'!G115+'račun prihoda i rashoda-ekonom'!G129+'račun prihoda i rashoda-ekonom'!G140+'račun prihoda i rashoda-ekonom'!G146+'račun prihoda i rashoda-ekonom'!G155+'račun prihoda i rashoda-ekonom'!G162+'račun prihoda i rashoda-ekonom'!G171+'račun prihoda i rashoda-ekonom'!G176+'račun prihoda i rashoda-ekonom'!G194+'račun prihoda i rashoda-ekonom'!G202+'račun prihoda i rashoda-ekonom'!G225+'račun prihoda i rashoda-ekonom'!G252+'račun prihoda i rashoda-ekonom'!G263+'račun prihoda i rashoda-ekonom'!G270+'račun prihoda i rashoda-ekonom'!G278+'račun prihoda i rashoda-ekonom'!G259</f>
        <v>16186.379999999997</v>
      </c>
      <c r="G72" s="461">
        <f t="shared" ref="G72:G77" si="21">F72/D72*100</f>
        <v>29.458865752916058</v>
      </c>
      <c r="H72" s="486">
        <f t="shared" ref="H72:H77" si="22">F72/E72*100</f>
        <v>25.981348314606738</v>
      </c>
    </row>
    <row r="73" spans="1:8" s="27" customFormat="1" x14ac:dyDescent="0.3">
      <c r="A73" s="503" t="s">
        <v>287</v>
      </c>
      <c r="B73" s="474"/>
      <c r="C73" s="5" t="s">
        <v>300</v>
      </c>
      <c r="D73" s="61">
        <f>D74+D75</f>
        <v>2643.98</v>
      </c>
      <c r="E73" s="61">
        <f t="shared" ref="E73:F73" si="23">E74+E75</f>
        <v>600</v>
      </c>
      <c r="F73" s="61">
        <f t="shared" si="23"/>
        <v>0</v>
      </c>
      <c r="G73" s="59">
        <f t="shared" si="21"/>
        <v>0</v>
      </c>
      <c r="H73" s="73">
        <f t="shared" si="22"/>
        <v>0</v>
      </c>
    </row>
    <row r="74" spans="1:8" s="463" customFormat="1" ht="12" x14ac:dyDescent="0.3">
      <c r="A74" s="499"/>
      <c r="B74" s="471" t="s">
        <v>311</v>
      </c>
      <c r="C74" s="190" t="s">
        <v>96</v>
      </c>
      <c r="D74" s="460">
        <f>'račun prihoda i rashoda-ekonom'!E109+'račun prihoda i rashoda-ekonom'!E124+'račun prihoda i rashoda-ekonom'!E141+'račun prihoda i rashoda-ekonom'!E147+'račun prihoda i rashoda-ekonom'!E156+'račun prihoda i rashoda-ekonom'!E163+'račun prihoda i rashoda-ekonom'!E195+'račun prihoda i rashoda-ekonom'!E214+'račun prihoda i rashoda-ekonom'!E226+'račun prihoda i rashoda-ekonom'!E253+'račun prihoda i rashoda-ekonom'!E271+'račun prihoda i rashoda-ekonom'!E279</f>
        <v>2643.98</v>
      </c>
      <c r="E74" s="460">
        <f>'račun prihoda i rashoda-ekonom'!F109+'račun prihoda i rashoda-ekonom'!F124+'račun prihoda i rashoda-ekonom'!F141+'račun prihoda i rashoda-ekonom'!F147+'račun prihoda i rashoda-ekonom'!F156+'račun prihoda i rashoda-ekonom'!F163+'račun prihoda i rashoda-ekonom'!F195+'račun prihoda i rashoda-ekonom'!F214+'račun prihoda i rashoda-ekonom'!F226+'račun prihoda i rashoda-ekonom'!F253+'račun prihoda i rashoda-ekonom'!F271+'račun prihoda i rashoda-ekonom'!F279</f>
        <v>600</v>
      </c>
      <c r="F74" s="460">
        <f>'račun prihoda i rashoda-ekonom'!G109+'račun prihoda i rashoda-ekonom'!G124+'račun prihoda i rashoda-ekonom'!G141+'račun prihoda i rashoda-ekonom'!G147+'račun prihoda i rashoda-ekonom'!G156+'račun prihoda i rashoda-ekonom'!G163+'račun prihoda i rashoda-ekonom'!G195+'račun prihoda i rashoda-ekonom'!G214+'račun prihoda i rashoda-ekonom'!G226+'račun prihoda i rashoda-ekonom'!G253+'račun prihoda i rashoda-ekonom'!G271+'račun prihoda i rashoda-ekonom'!G279</f>
        <v>0</v>
      </c>
      <c r="G74" s="461">
        <f t="shared" si="21"/>
        <v>0</v>
      </c>
      <c r="H74" s="486">
        <f t="shared" si="22"/>
        <v>0</v>
      </c>
    </row>
    <row r="75" spans="1:8" s="463" customFormat="1" ht="12" x14ac:dyDescent="0.3">
      <c r="A75" s="499"/>
      <c r="B75" s="471" t="s">
        <v>312</v>
      </c>
      <c r="C75" s="190" t="s">
        <v>98</v>
      </c>
      <c r="D75" s="460">
        <f>'račun prihoda i rashoda-ekonom'!E254+'račun prihoda i rashoda-ekonom'!E272</f>
        <v>0</v>
      </c>
      <c r="E75" s="460">
        <f>'račun prihoda i rashoda-ekonom'!F254+'račun prihoda i rashoda-ekonom'!F272</f>
        <v>0</v>
      </c>
      <c r="F75" s="460">
        <f>'račun prihoda i rashoda-ekonom'!G254+'račun prihoda i rashoda-ekonom'!G272</f>
        <v>0</v>
      </c>
      <c r="G75" s="461" t="e">
        <f t="shared" si="21"/>
        <v>#DIV/0!</v>
      </c>
      <c r="H75" s="486" t="e">
        <f t="shared" si="22"/>
        <v>#DIV/0!</v>
      </c>
    </row>
    <row r="76" spans="1:8" s="450" customFormat="1" ht="13.8" x14ac:dyDescent="0.3">
      <c r="A76" s="504" t="s">
        <v>289</v>
      </c>
      <c r="B76" s="473"/>
      <c r="C76" s="447" t="s">
        <v>2</v>
      </c>
      <c r="D76" s="448">
        <f>D77</f>
        <v>0</v>
      </c>
      <c r="E76" s="448">
        <f t="shared" ref="E76:F76" si="24">E77</f>
        <v>500</v>
      </c>
      <c r="F76" s="448">
        <f t="shared" si="24"/>
        <v>0</v>
      </c>
      <c r="G76" s="443" t="e">
        <f t="shared" si="21"/>
        <v>#DIV/0!</v>
      </c>
      <c r="H76" s="449">
        <f t="shared" si="22"/>
        <v>0</v>
      </c>
    </row>
    <row r="77" spans="1:8" s="463" customFormat="1" ht="12.6" thickBot="1" x14ac:dyDescent="0.35">
      <c r="A77" s="505"/>
      <c r="B77" s="506" t="s">
        <v>314</v>
      </c>
      <c r="C77" s="200" t="s">
        <v>105</v>
      </c>
      <c r="D77" s="492">
        <f>'račun prihoda i rashoda-ekonom'!E177+'račun prihoda i rashoda-ekonom'!E255</f>
        <v>0</v>
      </c>
      <c r="E77" s="492">
        <f>'račun prihoda i rashoda-ekonom'!F177+'račun prihoda i rashoda-ekonom'!F255</f>
        <v>500</v>
      </c>
      <c r="F77" s="492">
        <f>'račun prihoda i rashoda-ekonom'!G177+'račun prihoda i rashoda-ekonom'!G255</f>
        <v>0</v>
      </c>
      <c r="G77" s="507" t="e">
        <f t="shared" si="21"/>
        <v>#DIV/0!</v>
      </c>
      <c r="H77" s="508">
        <f t="shared" si="22"/>
        <v>0</v>
      </c>
    </row>
    <row r="78" spans="1:8" s="183" customFormat="1" ht="12" x14ac:dyDescent="0.3">
      <c r="A78" s="452"/>
      <c r="B78" s="480"/>
      <c r="C78" s="453"/>
      <c r="D78" s="454"/>
      <c r="E78" s="454"/>
      <c r="F78" s="454"/>
      <c r="G78" s="454"/>
      <c r="H78" s="454"/>
    </row>
    <row r="79" spans="1:8" s="455" customFormat="1" ht="13.8" x14ac:dyDescent="0.3">
      <c r="A79" s="615" t="s">
        <v>302</v>
      </c>
      <c r="B79" s="616"/>
      <c r="C79" s="616"/>
      <c r="D79" s="616"/>
      <c r="E79" s="616"/>
      <c r="F79" s="616"/>
      <c r="G79" s="616"/>
      <c r="H79" s="616"/>
    </row>
    <row r="80" spans="1:8" s="183" customFormat="1" ht="12.6" thickBot="1" x14ac:dyDescent="0.35">
      <c r="A80" s="452"/>
      <c r="B80" s="480"/>
      <c r="C80" s="453"/>
      <c r="D80" s="454"/>
      <c r="E80" s="454"/>
      <c r="F80" s="454"/>
      <c r="G80" s="454"/>
      <c r="H80" s="454"/>
    </row>
    <row r="81" spans="1:8" ht="27" thickBot="1" x14ac:dyDescent="0.35">
      <c r="A81" s="552" t="s">
        <v>15</v>
      </c>
      <c r="B81" s="467" t="s">
        <v>15</v>
      </c>
      <c r="C81" s="32" t="s">
        <v>11</v>
      </c>
      <c r="D81" s="67" t="s">
        <v>318</v>
      </c>
      <c r="E81" s="53" t="s">
        <v>319</v>
      </c>
      <c r="F81" s="53" t="s">
        <v>320</v>
      </c>
      <c r="G81" s="34" t="s">
        <v>113</v>
      </c>
      <c r="H81" s="34" t="s">
        <v>113</v>
      </c>
    </row>
    <row r="82" spans="1:8" s="105" customFormat="1" ht="15" thickBot="1" x14ac:dyDescent="0.35">
      <c r="A82" s="125"/>
      <c r="B82" s="468"/>
      <c r="C82" s="126">
        <v>1</v>
      </c>
      <c r="D82" s="127">
        <v>2</v>
      </c>
      <c r="E82" s="128">
        <v>3</v>
      </c>
      <c r="F82" s="128">
        <v>4</v>
      </c>
      <c r="G82" s="129" t="s">
        <v>175</v>
      </c>
      <c r="H82" s="130" t="s">
        <v>176</v>
      </c>
    </row>
    <row r="83" spans="1:8" s="27" customFormat="1" x14ac:dyDescent="0.3">
      <c r="A83" s="30">
        <v>9</v>
      </c>
      <c r="B83" s="478"/>
      <c r="C83" s="10" t="s">
        <v>45</v>
      </c>
      <c r="D83" s="61">
        <f>D85+D86+D84</f>
        <v>0</v>
      </c>
      <c r="E83" s="61">
        <f t="shared" ref="E83:F83" si="25">E85+E86+E84</f>
        <v>0</v>
      </c>
      <c r="F83" s="61">
        <f t="shared" si="25"/>
        <v>0</v>
      </c>
      <c r="G83" s="59" t="e">
        <f t="shared" ref="G83:G86" si="26">F83/D83*100</f>
        <v>#DIV/0!</v>
      </c>
      <c r="H83" s="73" t="e">
        <f t="shared" ref="H83:H86" si="27">F83/E83*100</f>
        <v>#DIV/0!</v>
      </c>
    </row>
    <row r="84" spans="1:8" s="176" customFormat="1" ht="12" x14ac:dyDescent="0.3">
      <c r="A84" s="566">
        <v>1</v>
      </c>
      <c r="B84" s="567"/>
      <c r="C84" s="550" t="s">
        <v>16</v>
      </c>
      <c r="D84" s="173">
        <f>'račun prihoda i rashoda-ekonom'!E294+'račun prihoda i rashoda-ekonom'!E295</f>
        <v>0</v>
      </c>
      <c r="E84" s="173">
        <f>'račun prihoda i rashoda-ekonom'!F294+'račun prihoda i rashoda-ekonom'!F295</f>
        <v>0</v>
      </c>
      <c r="F84" s="173">
        <f>'račun prihoda i rashoda-ekonom'!G294+'račun prihoda i rashoda-ekonom'!G295</f>
        <v>0</v>
      </c>
      <c r="G84" s="174"/>
      <c r="H84" s="185"/>
    </row>
    <row r="85" spans="1:8" s="183" customFormat="1" ht="12" x14ac:dyDescent="0.3">
      <c r="A85" s="171">
        <v>4</v>
      </c>
      <c r="B85" s="476"/>
      <c r="C85" s="180" t="s">
        <v>245</v>
      </c>
      <c r="D85" s="181">
        <f>'račun prihoda i rashoda-ekonom'!E296</f>
        <v>0</v>
      </c>
      <c r="E85" s="181">
        <f>'račun prihoda i rashoda-ekonom'!F296</f>
        <v>0</v>
      </c>
      <c r="F85" s="181">
        <f>'račun prihoda i rashoda-ekonom'!G296</f>
        <v>0</v>
      </c>
      <c r="G85" s="456" t="e">
        <f t="shared" si="26"/>
        <v>#DIV/0!</v>
      </c>
      <c r="H85" s="184" t="e">
        <f t="shared" si="27"/>
        <v>#DIV/0!</v>
      </c>
    </row>
    <row r="86" spans="1:8" s="183" customFormat="1" ht="12.6" thickBot="1" x14ac:dyDescent="0.35">
      <c r="A86" s="496">
        <v>5</v>
      </c>
      <c r="B86" s="479"/>
      <c r="C86" s="200" t="s">
        <v>196</v>
      </c>
      <c r="D86" s="201">
        <f>'račun prihoda i rashoda-ekonom'!E297+'račun prihoda i rashoda-ekonom'!E298+'račun prihoda i rashoda-ekonom'!E299+'račun prihoda i rashoda-ekonom'!E301+'račun prihoda i rashoda-ekonom'!E300</f>
        <v>0</v>
      </c>
      <c r="E86" s="201">
        <f>'račun prihoda i rashoda-ekonom'!F297+'račun prihoda i rashoda-ekonom'!F298+'račun prihoda i rashoda-ekonom'!F299+'račun prihoda i rashoda-ekonom'!F301+'račun prihoda i rashoda-ekonom'!F300</f>
        <v>0</v>
      </c>
      <c r="F86" s="201">
        <f>'račun prihoda i rashoda-ekonom'!G297+'račun prihoda i rashoda-ekonom'!G298+'račun prihoda i rashoda-ekonom'!G299+'račun prihoda i rashoda-ekonom'!G301+'račun prihoda i rashoda-ekonom'!G300</f>
        <v>0</v>
      </c>
      <c r="G86" s="457" t="e">
        <f t="shared" si="26"/>
        <v>#DIV/0!</v>
      </c>
      <c r="H86" s="451" t="e">
        <f t="shared" si="27"/>
        <v>#DIV/0!</v>
      </c>
    </row>
  </sheetData>
  <mergeCells count="14">
    <mergeCell ref="A10:C10"/>
    <mergeCell ref="A11:C11"/>
    <mergeCell ref="A5:C5"/>
    <mergeCell ref="A6:C6"/>
    <mergeCell ref="A7:C7"/>
    <mergeCell ref="A8:C8"/>
    <mergeCell ref="A9:C9"/>
    <mergeCell ref="A79:H79"/>
    <mergeCell ref="A13:H13"/>
    <mergeCell ref="A15:H15"/>
    <mergeCell ref="A17:H17"/>
    <mergeCell ref="A19:H19"/>
    <mergeCell ref="A43:H43"/>
    <mergeCell ref="A55:H55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350520</xdr:colOff>
                <xdr:row>0</xdr:row>
                <xdr:rowOff>76200</xdr:rowOff>
              </from>
              <to>
                <xdr:col>1</xdr:col>
                <xdr:colOff>304800</xdr:colOff>
                <xdr:row>3</xdr:row>
                <xdr:rowOff>99060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6"/>
  <sheetViews>
    <sheetView topLeftCell="A15" workbookViewId="0">
      <selection activeCell="A5" sqref="A5:C11"/>
    </sheetView>
  </sheetViews>
  <sheetFormatPr defaultRowHeight="14.4" x14ac:dyDescent="0.3"/>
  <cols>
    <col min="1" max="1" width="37.6640625" customWidth="1"/>
    <col min="2" max="6" width="25.33203125" style="15" customWidth="1"/>
  </cols>
  <sheetData>
    <row r="1" spans="1:21" s="40" customFormat="1" ht="13.2" x14ac:dyDescent="0.25">
      <c r="B1" s="44"/>
      <c r="C1" s="44"/>
      <c r="D1" s="44"/>
      <c r="E1" s="44"/>
      <c r="F1" s="44"/>
    </row>
    <row r="2" spans="1:21" s="40" customFormat="1" ht="13.2" x14ac:dyDescent="0.25">
      <c r="B2" s="44"/>
      <c r="C2" s="44"/>
      <c r="D2" s="44"/>
      <c r="E2" s="44"/>
      <c r="F2" s="44"/>
    </row>
    <row r="3" spans="1:21" s="40" customFormat="1" ht="13.8" x14ac:dyDescent="0.3">
      <c r="B3" s="44"/>
      <c r="C3" s="44"/>
      <c r="D3" s="44"/>
      <c r="E3" s="44"/>
      <c r="F3" s="44"/>
      <c r="S3" s="41"/>
      <c r="T3" s="41"/>
      <c r="U3" s="41"/>
    </row>
    <row r="4" spans="1:21" s="40" customFormat="1" ht="13.2" x14ac:dyDescent="0.25">
      <c r="B4" s="44"/>
      <c r="C4" s="44"/>
      <c r="D4" s="44"/>
      <c r="E4" s="44"/>
      <c r="F4" s="44"/>
    </row>
    <row r="5" spans="1:21" s="40" customFormat="1" ht="15.6" x14ac:dyDescent="0.3">
      <c r="A5" s="591" t="s">
        <v>111</v>
      </c>
      <c r="B5" s="592"/>
      <c r="C5" s="592"/>
      <c r="D5" s="52"/>
      <c r="E5" s="45"/>
      <c r="F5" s="45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40" customFormat="1" ht="15.6" x14ac:dyDescent="0.3">
      <c r="A6" s="591" t="s">
        <v>112</v>
      </c>
      <c r="B6" s="592"/>
      <c r="C6" s="592"/>
      <c r="D6" s="52"/>
      <c r="E6" s="45"/>
      <c r="F6" s="45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s="40" customFormat="1" ht="15.6" x14ac:dyDescent="0.3">
      <c r="A7" s="591" t="s">
        <v>338</v>
      </c>
      <c r="B7" s="592"/>
      <c r="C7" s="592"/>
      <c r="D7" s="52"/>
      <c r="E7" s="45"/>
      <c r="F7" s="45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s="40" customFormat="1" ht="15.6" x14ac:dyDescent="0.3">
      <c r="A8" s="591" t="s">
        <v>339</v>
      </c>
      <c r="B8" s="592"/>
      <c r="C8" s="592"/>
      <c r="D8" s="52"/>
      <c r="E8" s="45"/>
      <c r="F8" s="45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s="40" customFormat="1" ht="15.6" x14ac:dyDescent="0.3">
      <c r="A9" s="591" t="s">
        <v>344</v>
      </c>
      <c r="B9" s="592"/>
      <c r="C9" s="592"/>
      <c r="D9" s="52"/>
      <c r="E9" s="45"/>
      <c r="F9" s="45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40" customFormat="1" ht="15.6" x14ac:dyDescent="0.3">
      <c r="A10" s="591" t="s">
        <v>345</v>
      </c>
      <c r="B10" s="592"/>
      <c r="C10" s="592"/>
      <c r="D10" s="52"/>
      <c r="E10" s="45"/>
      <c r="F10" s="45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s="40" customFormat="1" ht="15.6" x14ac:dyDescent="0.3">
      <c r="A11" s="591" t="s">
        <v>340</v>
      </c>
      <c r="B11" s="592"/>
      <c r="C11" s="592"/>
      <c r="D11" s="52"/>
      <c r="E11" s="45"/>
      <c r="F11" s="45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40" customFormat="1" ht="15.6" x14ac:dyDescent="0.3">
      <c r="A12" s="42"/>
      <c r="B12" s="52"/>
      <c r="C12" s="52"/>
      <c r="D12" s="52"/>
      <c r="E12" s="45"/>
      <c r="F12" s="45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ht="15.75" customHeight="1" x14ac:dyDescent="0.3">
      <c r="A13" s="589" t="s">
        <v>341</v>
      </c>
      <c r="B13" s="589"/>
      <c r="C13" s="589"/>
      <c r="D13" s="589"/>
      <c r="E13" s="589"/>
      <c r="F13" s="589"/>
      <c r="G13" s="439"/>
      <c r="H13" s="439"/>
      <c r="I13" s="439"/>
      <c r="J13" s="439"/>
    </row>
    <row r="14" spans="1:21" ht="18" customHeight="1" x14ac:dyDescent="0.3">
      <c r="A14" s="3"/>
      <c r="B14" s="14"/>
      <c r="C14" s="14"/>
      <c r="D14" s="14"/>
      <c r="E14" s="14"/>
      <c r="F14" s="14"/>
    </row>
    <row r="15" spans="1:21" ht="15.6" x14ac:dyDescent="0.3">
      <c r="A15" s="589" t="s">
        <v>30</v>
      </c>
      <c r="B15" s="589"/>
      <c r="C15" s="589"/>
      <c r="D15" s="589"/>
      <c r="E15" s="614"/>
      <c r="F15" s="614"/>
    </row>
    <row r="16" spans="1:21" ht="17.399999999999999" x14ac:dyDescent="0.3">
      <c r="A16" s="3"/>
      <c r="B16" s="14"/>
      <c r="C16" s="14"/>
      <c r="D16" s="14"/>
      <c r="E16" s="26"/>
      <c r="F16" s="26"/>
    </row>
    <row r="17" spans="1:8" ht="18" customHeight="1" x14ac:dyDescent="0.3">
      <c r="A17" s="589" t="s">
        <v>12</v>
      </c>
      <c r="B17" s="608"/>
      <c r="C17" s="608"/>
      <c r="D17" s="608"/>
      <c r="E17" s="608"/>
      <c r="F17" s="608"/>
    </row>
    <row r="18" spans="1:8" ht="17.399999999999999" x14ac:dyDescent="0.3">
      <c r="A18" s="3"/>
      <c r="B18" s="14"/>
      <c r="C18" s="14"/>
      <c r="D18" s="14"/>
      <c r="E18" s="26"/>
      <c r="F18" s="26"/>
    </row>
    <row r="19" spans="1:8" ht="15.6" x14ac:dyDescent="0.3">
      <c r="A19" s="589" t="s">
        <v>23</v>
      </c>
      <c r="B19" s="613"/>
      <c r="C19" s="613"/>
      <c r="D19" s="613"/>
      <c r="E19" s="613"/>
      <c r="F19" s="613"/>
      <c r="G19" t="s">
        <v>319</v>
      </c>
      <c r="H19" t="s">
        <v>320</v>
      </c>
    </row>
    <row r="20" spans="1:8" ht="18" thickBot="1" x14ac:dyDescent="0.35">
      <c r="A20" s="3"/>
      <c r="B20" s="14"/>
      <c r="C20" s="14"/>
      <c r="D20" s="14"/>
      <c r="E20" s="26"/>
      <c r="F20" s="26"/>
    </row>
    <row r="21" spans="1:8" ht="27" thickBot="1" x14ac:dyDescent="0.35">
      <c r="A21" s="24" t="s">
        <v>24</v>
      </c>
      <c r="B21" s="67" t="s">
        <v>318</v>
      </c>
      <c r="C21" s="53" t="s">
        <v>319</v>
      </c>
      <c r="D21" s="53" t="s">
        <v>320</v>
      </c>
      <c r="E21" s="34" t="s">
        <v>113</v>
      </c>
      <c r="F21" s="34" t="s">
        <v>113</v>
      </c>
    </row>
    <row r="22" spans="1:8" s="105" customFormat="1" ht="15" thickBot="1" x14ac:dyDescent="0.35">
      <c r="A22" s="113">
        <v>1</v>
      </c>
      <c r="B22" s="108">
        <v>2</v>
      </c>
      <c r="C22" s="109">
        <v>3</v>
      </c>
      <c r="D22" s="109">
        <v>4</v>
      </c>
      <c r="E22" s="110" t="s">
        <v>175</v>
      </c>
      <c r="F22" s="111" t="s">
        <v>176</v>
      </c>
    </row>
    <row r="23" spans="1:8" s="25" customFormat="1" ht="15.75" customHeight="1" x14ac:dyDescent="0.3">
      <c r="A23" s="38" t="s">
        <v>25</v>
      </c>
      <c r="B23" s="121">
        <f>B24</f>
        <v>1741688.63</v>
      </c>
      <c r="C23" s="121">
        <f t="shared" ref="C23:D25" si="0">C24</f>
        <v>1763279.91</v>
      </c>
      <c r="D23" s="121">
        <f t="shared" si="0"/>
        <v>833316.42999999993</v>
      </c>
      <c r="E23" s="121">
        <f>D23/B23*100</f>
        <v>47.845316071219919</v>
      </c>
      <c r="F23" s="122">
        <f>D23/C23*100</f>
        <v>47.259452414449612</v>
      </c>
    </row>
    <row r="24" spans="1:8" s="25" customFormat="1" ht="15.75" customHeight="1" x14ac:dyDescent="0.3">
      <c r="A24" s="20" t="s">
        <v>83</v>
      </c>
      <c r="B24" s="57">
        <f>B25</f>
        <v>1741688.63</v>
      </c>
      <c r="C24" s="57">
        <f t="shared" si="0"/>
        <v>1763279.91</v>
      </c>
      <c r="D24" s="57">
        <f t="shared" si="0"/>
        <v>833316.42999999993</v>
      </c>
      <c r="E24" s="56">
        <f t="shared" ref="E24:E26" si="1">D24/B24*100</f>
        <v>47.845316071219919</v>
      </c>
      <c r="F24" s="70">
        <f t="shared" ref="F24:F26" si="2">D24/C24*100</f>
        <v>47.259452414449612</v>
      </c>
    </row>
    <row r="25" spans="1:8" ht="26.4" x14ac:dyDescent="0.3">
      <c r="A25" s="21" t="s">
        <v>84</v>
      </c>
      <c r="B25" s="55">
        <f>B26</f>
        <v>1741688.63</v>
      </c>
      <c r="C25" s="55">
        <f t="shared" si="0"/>
        <v>1763279.91</v>
      </c>
      <c r="D25" s="55">
        <f t="shared" si="0"/>
        <v>833316.42999999993</v>
      </c>
      <c r="E25" s="56">
        <f t="shared" si="1"/>
        <v>47.845316071219919</v>
      </c>
      <c r="F25" s="70">
        <f t="shared" si="2"/>
        <v>47.259452414449612</v>
      </c>
    </row>
    <row r="26" spans="1:8" ht="15" thickBot="1" x14ac:dyDescent="0.35">
      <c r="A26" s="22" t="s">
        <v>85</v>
      </c>
      <c r="B26" s="58">
        <f>'POSEBNI DIO'!C26</f>
        <v>1741688.63</v>
      </c>
      <c r="C26" s="58">
        <f>'POSEBNI DIO'!D26</f>
        <v>1763279.91</v>
      </c>
      <c r="D26" s="58">
        <f>'POSEBNI DIO'!E26</f>
        <v>833316.42999999993</v>
      </c>
      <c r="E26" s="123">
        <f t="shared" si="1"/>
        <v>47.845316071219919</v>
      </c>
      <c r="F26" s="124">
        <f t="shared" si="2"/>
        <v>47.259452414449612</v>
      </c>
    </row>
  </sheetData>
  <mergeCells count="11">
    <mergeCell ref="A15:F15"/>
    <mergeCell ref="A17:F17"/>
    <mergeCell ref="A19:F19"/>
    <mergeCell ref="A13:F13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scale="79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441960</xdr:colOff>
                <xdr:row>0</xdr:row>
                <xdr:rowOff>76200</xdr:rowOff>
              </from>
              <to>
                <xdr:col>0</xdr:col>
                <xdr:colOff>861060</xdr:colOff>
                <xdr:row>3</xdr:row>
                <xdr:rowOff>99060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2"/>
  <sheetViews>
    <sheetView topLeftCell="A7" workbookViewId="0">
      <selection activeCell="D7" sqref="D7"/>
    </sheetView>
  </sheetViews>
  <sheetFormatPr defaultRowHeight="14.4" x14ac:dyDescent="0.3"/>
  <cols>
    <col min="1" max="1" width="7.44140625" bestFit="1" customWidth="1"/>
    <col min="2" max="2" width="13.77734375" customWidth="1"/>
    <col min="3" max="3" width="5.44140625" bestFit="1" customWidth="1"/>
    <col min="4" max="4" width="25.33203125" customWidth="1"/>
    <col min="5" max="9" width="25.33203125" style="66" customWidth="1"/>
  </cols>
  <sheetData>
    <row r="1" spans="1:21" s="40" customFormat="1" ht="13.2" x14ac:dyDescent="0.25">
      <c r="E1" s="63"/>
      <c r="F1" s="63"/>
      <c r="G1" s="63"/>
      <c r="H1" s="63"/>
      <c r="I1" s="63"/>
    </row>
    <row r="2" spans="1:21" s="40" customFormat="1" ht="13.2" x14ac:dyDescent="0.25">
      <c r="E2" s="63"/>
      <c r="F2" s="63"/>
      <c r="G2" s="63"/>
      <c r="H2" s="63"/>
      <c r="I2" s="63"/>
    </row>
    <row r="3" spans="1:21" s="40" customFormat="1" ht="13.8" x14ac:dyDescent="0.3">
      <c r="E3" s="63"/>
      <c r="F3" s="63"/>
      <c r="G3" s="63"/>
      <c r="H3" s="63"/>
      <c r="I3" s="63"/>
      <c r="S3" s="41"/>
      <c r="T3" s="41"/>
      <c r="U3" s="41"/>
    </row>
    <row r="4" spans="1:21" s="40" customFormat="1" ht="13.2" x14ac:dyDescent="0.25">
      <c r="E4" s="63"/>
      <c r="F4" s="63"/>
      <c r="G4" s="63"/>
      <c r="H4" s="63"/>
      <c r="I4" s="63"/>
    </row>
    <row r="5" spans="1:21" s="40" customFormat="1" ht="15.6" customHeight="1" x14ac:dyDescent="0.3">
      <c r="A5" s="591" t="s">
        <v>111</v>
      </c>
      <c r="B5" s="592"/>
      <c r="C5" s="592"/>
      <c r="D5" s="42"/>
      <c r="E5" s="64"/>
      <c r="F5" s="64"/>
      <c r="G5" s="64"/>
      <c r="H5" s="64"/>
      <c r="I5" s="64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40" customFormat="1" ht="15.6" customHeight="1" x14ac:dyDescent="0.3">
      <c r="A6" s="591" t="s">
        <v>112</v>
      </c>
      <c r="B6" s="592"/>
      <c r="C6" s="592"/>
      <c r="D6" s="42"/>
      <c r="E6" s="64"/>
      <c r="F6" s="64"/>
      <c r="G6" s="64"/>
      <c r="H6" s="64"/>
      <c r="I6" s="6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s="40" customFormat="1" ht="15.6" customHeight="1" x14ac:dyDescent="0.3">
      <c r="A7" s="591" t="s">
        <v>338</v>
      </c>
      <c r="B7" s="592"/>
      <c r="C7" s="592"/>
      <c r="D7" s="42"/>
      <c r="E7" s="64"/>
      <c r="F7" s="64"/>
      <c r="G7" s="64"/>
      <c r="H7" s="64"/>
      <c r="I7" s="64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s="40" customFormat="1" ht="15.6" customHeight="1" x14ac:dyDescent="0.3">
      <c r="A8" s="591" t="s">
        <v>339</v>
      </c>
      <c r="B8" s="592"/>
      <c r="C8" s="592"/>
      <c r="D8" s="42"/>
      <c r="E8" s="64"/>
      <c r="F8" s="64"/>
      <c r="G8" s="64"/>
      <c r="H8" s="64"/>
      <c r="I8" s="64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s="40" customFormat="1" ht="15.6" x14ac:dyDescent="0.3">
      <c r="A9" s="591" t="s">
        <v>344</v>
      </c>
      <c r="B9" s="592"/>
      <c r="C9" s="592"/>
      <c r="D9" s="42"/>
      <c r="E9" s="64"/>
      <c r="F9" s="64"/>
      <c r="G9" s="64"/>
      <c r="H9" s="64"/>
      <c r="I9" s="64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40" customFormat="1" ht="15.6" customHeight="1" x14ac:dyDescent="0.3">
      <c r="A10" s="591" t="s">
        <v>345</v>
      </c>
      <c r="B10" s="592"/>
      <c r="C10" s="592"/>
      <c r="D10" s="42"/>
      <c r="E10" s="64"/>
      <c r="F10" s="64"/>
      <c r="G10" s="64"/>
      <c r="H10" s="64"/>
      <c r="I10" s="64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s="40" customFormat="1" ht="15.6" customHeight="1" x14ac:dyDescent="0.3">
      <c r="A11" s="591" t="s">
        <v>340</v>
      </c>
      <c r="B11" s="592"/>
      <c r="C11" s="592"/>
      <c r="D11" s="42"/>
      <c r="E11" s="64"/>
      <c r="F11" s="64"/>
      <c r="G11" s="64"/>
      <c r="H11" s="64"/>
      <c r="I11" s="64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40" customFormat="1" ht="15.6" x14ac:dyDescent="0.3">
      <c r="A12" s="42"/>
      <c r="B12" s="42"/>
      <c r="C12" s="42"/>
      <c r="D12" s="42"/>
      <c r="E12" s="64"/>
      <c r="F12" s="64"/>
      <c r="G12" s="64"/>
      <c r="H12" s="64"/>
      <c r="I12" s="64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ht="15.75" customHeight="1" x14ac:dyDescent="0.3">
      <c r="A13" s="589" t="s">
        <v>341</v>
      </c>
      <c r="B13" s="590"/>
      <c r="C13" s="590"/>
      <c r="D13" s="590"/>
      <c r="E13" s="590"/>
      <c r="F13" s="590"/>
      <c r="G13" s="590"/>
      <c r="H13" s="590"/>
      <c r="I13" s="590"/>
      <c r="J13" s="439"/>
    </row>
    <row r="14" spans="1:21" ht="18" customHeight="1" x14ac:dyDescent="0.3">
      <c r="A14" s="3"/>
      <c r="B14" s="3"/>
      <c r="C14" s="3"/>
      <c r="D14" s="3"/>
      <c r="E14" s="65"/>
      <c r="F14" s="65"/>
      <c r="G14" s="65"/>
      <c r="H14" s="65"/>
      <c r="I14" s="65"/>
    </row>
    <row r="15" spans="1:21" ht="15.6" x14ac:dyDescent="0.3">
      <c r="A15" s="589" t="s">
        <v>30</v>
      </c>
      <c r="B15" s="589"/>
      <c r="C15" s="589"/>
      <c r="D15" s="589"/>
      <c r="E15" s="589"/>
      <c r="F15" s="589"/>
      <c r="G15" s="589"/>
      <c r="H15" s="614"/>
      <c r="I15" s="614"/>
    </row>
    <row r="16" spans="1:21" ht="17.399999999999999" x14ac:dyDescent="0.3">
      <c r="A16" s="3"/>
      <c r="B16" s="3"/>
      <c r="C16" s="3"/>
      <c r="D16" s="3"/>
      <c r="E16" s="65"/>
      <c r="F16" s="65"/>
      <c r="G16" s="65"/>
      <c r="H16" s="69"/>
      <c r="I16" s="69"/>
    </row>
    <row r="17" spans="1:9" ht="18" customHeight="1" x14ac:dyDescent="0.3">
      <c r="A17" s="589" t="s">
        <v>26</v>
      </c>
      <c r="B17" s="608"/>
      <c r="C17" s="608"/>
      <c r="D17" s="608"/>
      <c r="E17" s="608"/>
      <c r="F17" s="608"/>
      <c r="G17" s="608"/>
      <c r="H17" s="608"/>
      <c r="I17" s="608"/>
    </row>
    <row r="18" spans="1:9" ht="18" thickBot="1" x14ac:dyDescent="0.35">
      <c r="A18" s="3"/>
      <c r="B18" s="3"/>
      <c r="C18" s="3"/>
      <c r="D18" s="3"/>
      <c r="E18" s="65"/>
      <c r="F18" s="65"/>
      <c r="G18" s="65"/>
      <c r="H18" s="69"/>
      <c r="I18" s="69"/>
    </row>
    <row r="19" spans="1:9" ht="27" thickBot="1" x14ac:dyDescent="0.35">
      <c r="A19" s="24" t="s">
        <v>13</v>
      </c>
      <c r="B19" s="32" t="s">
        <v>14</v>
      </c>
      <c r="C19" s="32" t="s">
        <v>15</v>
      </c>
      <c r="D19" s="32" t="s">
        <v>42</v>
      </c>
      <c r="E19" s="67" t="s">
        <v>318</v>
      </c>
      <c r="F19" s="53" t="s">
        <v>319</v>
      </c>
      <c r="G19" s="53" t="s">
        <v>320</v>
      </c>
      <c r="H19" s="34" t="s">
        <v>113</v>
      </c>
      <c r="I19" s="34" t="s">
        <v>113</v>
      </c>
    </row>
    <row r="20" spans="1:9" s="105" customFormat="1" ht="15" thickBot="1" x14ac:dyDescent="0.35">
      <c r="A20" s="112"/>
      <c r="B20" s="113"/>
      <c r="C20" s="113"/>
      <c r="D20" s="113">
        <v>1</v>
      </c>
      <c r="E20" s="108">
        <v>2</v>
      </c>
      <c r="F20" s="109">
        <v>3</v>
      </c>
      <c r="G20" s="109">
        <v>4</v>
      </c>
      <c r="H20" s="110" t="s">
        <v>175</v>
      </c>
      <c r="I20" s="111" t="s">
        <v>176</v>
      </c>
    </row>
    <row r="21" spans="1:9" ht="26.4" x14ac:dyDescent="0.3">
      <c r="A21" s="23">
        <v>8</v>
      </c>
      <c r="B21" s="31"/>
      <c r="C21" s="31"/>
      <c r="D21" s="31" t="s">
        <v>27</v>
      </c>
      <c r="E21" s="106">
        <v>0</v>
      </c>
      <c r="F21" s="107">
        <v>0</v>
      </c>
      <c r="G21" s="107">
        <v>0</v>
      </c>
      <c r="H21" s="107" t="e">
        <f>G21/E21*100</f>
        <v>#DIV/0!</v>
      </c>
      <c r="I21" s="114" t="e">
        <f>G21/F21*100</f>
        <v>#DIV/0!</v>
      </c>
    </row>
    <row r="22" spans="1:9" ht="27" thickBot="1" x14ac:dyDescent="0.35">
      <c r="A22" s="115">
        <v>5</v>
      </c>
      <c r="B22" s="116"/>
      <c r="C22" s="116"/>
      <c r="D22" s="117" t="s">
        <v>28</v>
      </c>
      <c r="E22" s="118">
        <v>0</v>
      </c>
      <c r="F22" s="119">
        <v>0</v>
      </c>
      <c r="G22" s="119">
        <v>0</v>
      </c>
      <c r="H22" s="119" t="e">
        <f>G22/E22*100</f>
        <v>#DIV/0!</v>
      </c>
      <c r="I22" s="120" t="e">
        <f>G22/F22*100</f>
        <v>#DIV/0!</v>
      </c>
    </row>
  </sheetData>
  <mergeCells count="10">
    <mergeCell ref="A15:I15"/>
    <mergeCell ref="A17:I17"/>
    <mergeCell ref="A13:I13"/>
    <mergeCell ref="A5:C5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0</xdr:col>
                <xdr:colOff>350520</xdr:colOff>
                <xdr:row>0</xdr:row>
                <xdr:rowOff>76200</xdr:rowOff>
              </from>
              <to>
                <xdr:col>1</xdr:col>
                <xdr:colOff>304800</xdr:colOff>
                <xdr:row>4</xdr:row>
                <xdr:rowOff>0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19"/>
  <sheetViews>
    <sheetView tabSelected="1" zoomScaleNormal="100" workbookViewId="0">
      <selection activeCell="J6" sqref="J6"/>
    </sheetView>
  </sheetViews>
  <sheetFormatPr defaultRowHeight="14.4" x14ac:dyDescent="0.3"/>
  <cols>
    <col min="1" max="1" width="16.88671875" style="99" customWidth="1"/>
    <col min="2" max="2" width="46.5546875" bestFit="1" customWidth="1"/>
    <col min="3" max="5" width="17.44140625" style="15" customWidth="1"/>
    <col min="6" max="6" width="17.44140625" style="104" customWidth="1"/>
    <col min="7" max="7" width="14.6640625" style="104" customWidth="1"/>
  </cols>
  <sheetData>
    <row r="1" spans="1:21" s="40" customFormat="1" ht="13.2" x14ac:dyDescent="0.25">
      <c r="A1" s="96"/>
      <c r="C1" s="44"/>
      <c r="D1" s="44"/>
      <c r="E1" s="44"/>
      <c r="F1" s="100"/>
      <c r="G1" s="100"/>
    </row>
    <row r="2" spans="1:21" s="40" customFormat="1" ht="13.2" x14ac:dyDescent="0.25">
      <c r="A2" s="96"/>
      <c r="C2" s="44"/>
      <c r="D2" s="44"/>
      <c r="E2" s="44"/>
      <c r="F2" s="100"/>
      <c r="G2" s="100"/>
    </row>
    <row r="3" spans="1:21" s="40" customFormat="1" ht="13.8" x14ac:dyDescent="0.3">
      <c r="A3" s="96"/>
      <c r="C3" s="44"/>
      <c r="D3" s="44"/>
      <c r="E3" s="44"/>
      <c r="F3" s="100"/>
      <c r="G3" s="100"/>
      <c r="S3" s="41"/>
      <c r="T3" s="41"/>
      <c r="U3" s="41"/>
    </row>
    <row r="4" spans="1:21" s="40" customFormat="1" ht="13.2" x14ac:dyDescent="0.25">
      <c r="A4" s="96"/>
      <c r="C4" s="44"/>
      <c r="D4" s="44"/>
      <c r="E4" s="44"/>
      <c r="F4" s="100"/>
      <c r="G4" s="100"/>
    </row>
    <row r="5" spans="1:21" s="40" customFormat="1" ht="15.6" x14ac:dyDescent="0.3">
      <c r="A5" s="591" t="s">
        <v>111</v>
      </c>
      <c r="B5" s="592"/>
      <c r="C5" s="592"/>
      <c r="D5" s="52"/>
      <c r="E5" s="45"/>
      <c r="F5" s="101"/>
      <c r="G5" s="101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40" customFormat="1" ht="15.6" x14ac:dyDescent="0.3">
      <c r="A6" s="591" t="s">
        <v>112</v>
      </c>
      <c r="B6" s="592"/>
      <c r="C6" s="592"/>
      <c r="D6" s="52"/>
      <c r="E6" s="45"/>
      <c r="F6" s="101"/>
      <c r="G6" s="101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s="40" customFormat="1" ht="15.6" x14ac:dyDescent="0.3">
      <c r="A7" s="591" t="s">
        <v>338</v>
      </c>
      <c r="B7" s="592"/>
      <c r="C7" s="592"/>
      <c r="D7" s="52"/>
      <c r="E7" s="45"/>
      <c r="F7" s="101"/>
      <c r="G7" s="101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s="40" customFormat="1" ht="15.6" x14ac:dyDescent="0.3">
      <c r="A8" s="591" t="s">
        <v>339</v>
      </c>
      <c r="B8" s="592"/>
      <c r="C8" s="592"/>
      <c r="D8" s="52"/>
      <c r="E8" s="45"/>
      <c r="F8" s="101"/>
      <c r="G8" s="101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s="40" customFormat="1" ht="15.6" x14ac:dyDescent="0.3">
      <c r="A9" s="591" t="s">
        <v>342</v>
      </c>
      <c r="B9" s="592"/>
      <c r="C9" s="592"/>
      <c r="D9" s="52"/>
      <c r="E9" s="45"/>
      <c r="F9" s="101"/>
      <c r="G9" s="101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40" customFormat="1" ht="15.6" x14ac:dyDescent="0.3">
      <c r="A10" s="591" t="s">
        <v>343</v>
      </c>
      <c r="B10" s="592"/>
      <c r="C10" s="592"/>
      <c r="D10" s="52"/>
      <c r="E10" s="45"/>
      <c r="F10" s="101"/>
      <c r="G10" s="10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s="40" customFormat="1" ht="15.6" x14ac:dyDescent="0.3">
      <c r="A11" s="591" t="s">
        <v>340</v>
      </c>
      <c r="B11" s="592"/>
      <c r="C11" s="592"/>
      <c r="D11" s="52"/>
      <c r="E11" s="45"/>
      <c r="F11" s="101"/>
      <c r="G11" s="101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40" customFormat="1" ht="12" customHeight="1" x14ac:dyDescent="0.3">
      <c r="A12" s="97"/>
      <c r="B12" s="42"/>
      <c r="C12" s="52"/>
      <c r="D12" s="52"/>
      <c r="E12" s="45"/>
      <c r="F12" s="101"/>
      <c r="G12" s="101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ht="15.75" customHeight="1" x14ac:dyDescent="0.3">
      <c r="A13" s="589" t="s">
        <v>341</v>
      </c>
      <c r="B13" s="590"/>
      <c r="C13" s="590"/>
      <c r="D13" s="590"/>
      <c r="E13" s="590"/>
      <c r="F13" s="590"/>
      <c r="G13" s="590"/>
      <c r="H13" s="439"/>
      <c r="I13" s="439"/>
      <c r="J13" s="439"/>
    </row>
    <row r="14" spans="1:21" ht="10.5" customHeight="1" x14ac:dyDescent="0.3">
      <c r="A14" s="93"/>
      <c r="B14" s="3"/>
      <c r="C14" s="14"/>
      <c r="D14" s="14"/>
      <c r="E14" s="14"/>
      <c r="F14" s="242"/>
      <c r="G14" s="102"/>
    </row>
    <row r="15" spans="1:21" ht="18" customHeight="1" x14ac:dyDescent="0.3">
      <c r="A15" s="588" t="s">
        <v>29</v>
      </c>
      <c r="B15" s="588"/>
      <c r="C15" s="588"/>
      <c r="D15" s="588"/>
      <c r="E15" s="588"/>
      <c r="F15" s="588"/>
      <c r="G15" s="588"/>
    </row>
    <row r="16" spans="1:21" ht="15" customHeight="1" thickBot="1" x14ac:dyDescent="0.35">
      <c r="A16" s="93"/>
      <c r="B16" s="3"/>
      <c r="C16" s="14"/>
      <c r="D16" s="14"/>
      <c r="E16" s="14"/>
      <c r="F16" s="242"/>
      <c r="G16" s="102"/>
    </row>
    <row r="17" spans="1:7" s="12" customFormat="1" ht="26.4" x14ac:dyDescent="0.25">
      <c r="A17" s="94" t="s">
        <v>31</v>
      </c>
      <c r="B17" s="16" t="s">
        <v>32</v>
      </c>
      <c r="C17" s="67" t="s">
        <v>318</v>
      </c>
      <c r="D17" s="53" t="s">
        <v>319</v>
      </c>
      <c r="E17" s="53" t="s">
        <v>320</v>
      </c>
      <c r="F17" s="400" t="s">
        <v>295</v>
      </c>
      <c r="G17" s="88" t="s">
        <v>113</v>
      </c>
    </row>
    <row r="18" spans="1:7" s="75" customFormat="1" ht="12.75" customHeight="1" thickBot="1" x14ac:dyDescent="0.3">
      <c r="A18" s="95"/>
      <c r="B18" s="76">
        <v>1</v>
      </c>
      <c r="C18" s="238">
        <v>2</v>
      </c>
      <c r="D18" s="77">
        <v>3</v>
      </c>
      <c r="E18" s="78">
        <v>4</v>
      </c>
      <c r="F18" s="243" t="s">
        <v>175</v>
      </c>
      <c r="G18" s="89" t="s">
        <v>176</v>
      </c>
    </row>
    <row r="19" spans="1:7" s="13" customFormat="1" ht="13.8" thickBot="1" x14ac:dyDescent="0.35">
      <c r="A19" s="17" t="s">
        <v>107</v>
      </c>
      <c r="B19" s="18" t="s">
        <v>108</v>
      </c>
      <c r="C19" s="54">
        <f>C20+C26</f>
        <v>1741688.63</v>
      </c>
      <c r="D19" s="54">
        <f>D20+D26</f>
        <v>1763279.91</v>
      </c>
      <c r="E19" s="54">
        <f>E20+E26</f>
        <v>833316.42999999993</v>
      </c>
      <c r="F19" s="239">
        <f t="shared" ref="F19" si="0">E19/C19*100</f>
        <v>47.845316071219919</v>
      </c>
      <c r="G19" s="90">
        <f t="shared" ref="G19" si="1">E19/D19*100</f>
        <v>47.259452414449612</v>
      </c>
    </row>
    <row r="20" spans="1:7" s="13" customFormat="1" ht="13.8" thickBot="1" x14ac:dyDescent="0.35">
      <c r="A20" s="80"/>
      <c r="B20" s="81" t="s">
        <v>338</v>
      </c>
      <c r="C20" s="82">
        <f t="shared" ref="C20:D20" si="2">C21</f>
        <v>0</v>
      </c>
      <c r="D20" s="83">
        <f t="shared" si="2"/>
        <v>0</v>
      </c>
      <c r="E20" s="83">
        <f t="shared" ref="E20" si="3">E21</f>
        <v>0</v>
      </c>
      <c r="F20" s="244" t="e">
        <f t="shared" ref="F20:F23" si="4">E20/C20*100</f>
        <v>#DIV/0!</v>
      </c>
      <c r="G20" s="91" t="e">
        <f>E20/D20*100</f>
        <v>#DIV/0!</v>
      </c>
    </row>
    <row r="21" spans="1:7" s="141" customFormat="1" ht="13.2" x14ac:dyDescent="0.3">
      <c r="A21" s="136" t="s">
        <v>43</v>
      </c>
      <c r="B21" s="137" t="s">
        <v>44</v>
      </c>
      <c r="C21" s="138">
        <f t="shared" ref="C21:E21" si="5">C22</f>
        <v>0</v>
      </c>
      <c r="D21" s="139">
        <f t="shared" si="5"/>
        <v>0</v>
      </c>
      <c r="E21" s="139">
        <f t="shared" si="5"/>
        <v>0</v>
      </c>
      <c r="F21" s="245" t="e">
        <f t="shared" si="4"/>
        <v>#DIV/0!</v>
      </c>
      <c r="G21" s="140" t="e">
        <f>E21/D21*100</f>
        <v>#DIV/0!</v>
      </c>
    </row>
    <row r="22" spans="1:7" s="13" customFormat="1" ht="13.2" x14ac:dyDescent="0.3">
      <c r="A22" s="142">
        <v>9</v>
      </c>
      <c r="B22" s="143" t="s">
        <v>45</v>
      </c>
      <c r="C22" s="60">
        <f t="shared" ref="C22:E24" si="6">C23</f>
        <v>0</v>
      </c>
      <c r="D22" s="144">
        <f t="shared" si="6"/>
        <v>0</v>
      </c>
      <c r="E22" s="144">
        <f t="shared" si="6"/>
        <v>0</v>
      </c>
      <c r="F22" s="241" t="e">
        <f t="shared" si="4"/>
        <v>#DIV/0!</v>
      </c>
      <c r="G22" s="145" t="e">
        <f>E22/D22*100</f>
        <v>#DIV/0!</v>
      </c>
    </row>
    <row r="23" spans="1:7" s="13" customFormat="1" ht="13.2" x14ac:dyDescent="0.3">
      <c r="A23" s="142">
        <v>92</v>
      </c>
      <c r="B23" s="143" t="s">
        <v>46</v>
      </c>
      <c r="C23" s="60">
        <f t="shared" si="6"/>
        <v>0</v>
      </c>
      <c r="D23" s="144">
        <f t="shared" si="6"/>
        <v>0</v>
      </c>
      <c r="E23" s="144">
        <f t="shared" si="6"/>
        <v>0</v>
      </c>
      <c r="F23" s="241" t="e">
        <f t="shared" si="4"/>
        <v>#DIV/0!</v>
      </c>
      <c r="G23" s="145" t="e">
        <f>E23/D23*100</f>
        <v>#DIV/0!</v>
      </c>
    </row>
    <row r="24" spans="1:7" s="13" customFormat="1" ht="13.2" x14ac:dyDescent="0.3">
      <c r="A24" s="142">
        <v>922</v>
      </c>
      <c r="B24" s="143" t="s">
        <v>148</v>
      </c>
      <c r="C24" s="60">
        <f t="shared" si="6"/>
        <v>0</v>
      </c>
      <c r="D24" s="144">
        <f t="shared" si="6"/>
        <v>0</v>
      </c>
      <c r="E24" s="144">
        <f t="shared" si="6"/>
        <v>0</v>
      </c>
      <c r="F24" s="241"/>
      <c r="G24" s="145"/>
    </row>
    <row r="25" spans="1:7" s="221" customFormat="1" ht="13.8" thickBot="1" x14ac:dyDescent="0.35">
      <c r="A25" s="216">
        <v>9222</v>
      </c>
      <c r="B25" s="217" t="s">
        <v>149</v>
      </c>
      <c r="C25" s="218">
        <v>0</v>
      </c>
      <c r="D25" s="219">
        <v>0</v>
      </c>
      <c r="E25" s="219">
        <v>0</v>
      </c>
      <c r="F25" s="246"/>
      <c r="G25" s="237"/>
    </row>
    <row r="26" spans="1:7" s="13" customFormat="1" ht="13.8" thickBot="1" x14ac:dyDescent="0.35">
      <c r="A26" s="84" t="s">
        <v>69</v>
      </c>
      <c r="B26" s="85" t="s">
        <v>70</v>
      </c>
      <c r="C26" s="86">
        <f>C27+C43+C78+C273+C311+C341+C389</f>
        <v>1741688.63</v>
      </c>
      <c r="D26" s="87">
        <f>D27+D43+D78+D273+D311+D341+D389</f>
        <v>1763279.91</v>
      </c>
      <c r="E26" s="87">
        <f>E27+E43+E78+E273+E311+E341+E389</f>
        <v>833316.42999999993</v>
      </c>
      <c r="F26" s="247">
        <f t="shared" ref="F26:F65" si="7">E26/C26*100</f>
        <v>47.845316071219919</v>
      </c>
      <c r="G26" s="92">
        <f t="shared" ref="G26:G65" si="8">E26/D26*100</f>
        <v>47.259452414449612</v>
      </c>
    </row>
    <row r="27" spans="1:7" s="13" customFormat="1" ht="27" thickBot="1" x14ac:dyDescent="0.35">
      <c r="A27" s="80" t="s">
        <v>71</v>
      </c>
      <c r="B27" s="81" t="s">
        <v>72</v>
      </c>
      <c r="C27" s="82">
        <f>C28</f>
        <v>770</v>
      </c>
      <c r="D27" s="83">
        <f>D28</f>
        <v>372</v>
      </c>
      <c r="E27" s="83">
        <f>E28</f>
        <v>480</v>
      </c>
      <c r="F27" s="244">
        <f t="shared" si="7"/>
        <v>62.337662337662337</v>
      </c>
      <c r="G27" s="91">
        <f t="shared" si="8"/>
        <v>129.03225806451613</v>
      </c>
    </row>
    <row r="28" spans="1:7" s="141" customFormat="1" ht="13.2" x14ac:dyDescent="0.3">
      <c r="A28" s="136" t="s">
        <v>47</v>
      </c>
      <c r="B28" s="137" t="s">
        <v>48</v>
      </c>
      <c r="C28" s="138">
        <f>C29+C39</f>
        <v>770</v>
      </c>
      <c r="D28" s="139">
        <f>D29+D39</f>
        <v>372</v>
      </c>
      <c r="E28" s="139">
        <f>E29+E39</f>
        <v>480</v>
      </c>
      <c r="F28" s="245">
        <f t="shared" si="7"/>
        <v>62.337662337662337</v>
      </c>
      <c r="G28" s="140">
        <f t="shared" si="8"/>
        <v>129.03225806451613</v>
      </c>
    </row>
    <row r="29" spans="1:7" s="13" customFormat="1" ht="13.2" x14ac:dyDescent="0.3">
      <c r="A29" s="142" t="s">
        <v>49</v>
      </c>
      <c r="B29" s="143" t="s">
        <v>20</v>
      </c>
      <c r="C29" s="60">
        <f t="shared" ref="C29:E29" si="9">C30</f>
        <v>770</v>
      </c>
      <c r="D29" s="144">
        <f t="shared" si="9"/>
        <v>372</v>
      </c>
      <c r="E29" s="144">
        <f t="shared" si="9"/>
        <v>480</v>
      </c>
      <c r="F29" s="241">
        <f t="shared" si="7"/>
        <v>62.337662337662337</v>
      </c>
      <c r="G29" s="145">
        <f t="shared" si="8"/>
        <v>129.03225806451613</v>
      </c>
    </row>
    <row r="30" spans="1:7" s="13" customFormat="1" ht="13.2" x14ac:dyDescent="0.3">
      <c r="A30" s="142" t="s">
        <v>50</v>
      </c>
      <c r="B30" s="143" t="s">
        <v>33</v>
      </c>
      <c r="C30" s="60">
        <f>C31+C33+C35+C37</f>
        <v>770</v>
      </c>
      <c r="D30" s="144">
        <f>D31+D33+D35+D37</f>
        <v>372</v>
      </c>
      <c r="E30" s="144">
        <f>E31+E33+E35+E37</f>
        <v>480</v>
      </c>
      <c r="F30" s="241">
        <f t="shared" si="7"/>
        <v>62.337662337662337</v>
      </c>
      <c r="G30" s="145">
        <f t="shared" si="8"/>
        <v>129.03225806451613</v>
      </c>
    </row>
    <row r="31" spans="1:7" s="13" customFormat="1" ht="13.2" x14ac:dyDescent="0.3">
      <c r="A31" s="142">
        <v>321</v>
      </c>
      <c r="B31" s="143" t="s">
        <v>150</v>
      </c>
      <c r="C31" s="60">
        <f>C32</f>
        <v>270</v>
      </c>
      <c r="D31" s="144">
        <f>D32</f>
        <v>372</v>
      </c>
      <c r="E31" s="144">
        <f>E32</f>
        <v>180</v>
      </c>
      <c r="F31" s="241"/>
      <c r="G31" s="145"/>
    </row>
    <row r="32" spans="1:7" s="221" customFormat="1" ht="13.2" x14ac:dyDescent="0.3">
      <c r="A32" s="222">
        <v>3211</v>
      </c>
      <c r="B32" s="223" t="s">
        <v>124</v>
      </c>
      <c r="C32" s="224">
        <v>270</v>
      </c>
      <c r="D32" s="225">
        <v>372</v>
      </c>
      <c r="E32" s="225">
        <v>180</v>
      </c>
      <c r="F32" s="248"/>
      <c r="G32" s="220"/>
    </row>
    <row r="33" spans="1:7" s="13" customFormat="1" ht="13.2" x14ac:dyDescent="0.3">
      <c r="A33" s="142">
        <v>322</v>
      </c>
      <c r="B33" s="143" t="s">
        <v>151</v>
      </c>
      <c r="C33" s="60">
        <f>C34</f>
        <v>0</v>
      </c>
      <c r="D33" s="144">
        <f>D34</f>
        <v>0</v>
      </c>
      <c r="E33" s="144">
        <f>E34</f>
        <v>0</v>
      </c>
      <c r="F33" s="241"/>
      <c r="G33" s="145"/>
    </row>
    <row r="34" spans="1:7" s="221" customFormat="1" ht="13.2" x14ac:dyDescent="0.3">
      <c r="A34" s="222">
        <v>3221</v>
      </c>
      <c r="B34" s="223" t="s">
        <v>126</v>
      </c>
      <c r="C34" s="224"/>
      <c r="D34" s="225"/>
      <c r="E34" s="225"/>
      <c r="F34" s="248"/>
      <c r="G34" s="220"/>
    </row>
    <row r="35" spans="1:7" s="13" customFormat="1" ht="13.2" x14ac:dyDescent="0.3">
      <c r="A35" s="142">
        <v>323</v>
      </c>
      <c r="B35" s="143" t="s">
        <v>152</v>
      </c>
      <c r="C35" s="60">
        <f>C36</f>
        <v>500</v>
      </c>
      <c r="D35" s="144">
        <f>D36</f>
        <v>0</v>
      </c>
      <c r="E35" s="144">
        <f>E36</f>
        <v>0</v>
      </c>
      <c r="F35" s="241"/>
      <c r="G35" s="145"/>
    </row>
    <row r="36" spans="1:7" s="221" customFormat="1" ht="13.2" x14ac:dyDescent="0.3">
      <c r="A36" s="222">
        <v>3231</v>
      </c>
      <c r="B36" s="223" t="s">
        <v>129</v>
      </c>
      <c r="C36" s="224">
        <v>500</v>
      </c>
      <c r="D36" s="225"/>
      <c r="E36" s="225"/>
      <c r="F36" s="248"/>
      <c r="G36" s="220"/>
    </row>
    <row r="37" spans="1:7" s="13" customFormat="1" ht="13.2" x14ac:dyDescent="0.3">
      <c r="A37" s="142">
        <v>329</v>
      </c>
      <c r="B37" s="143" t="s">
        <v>138</v>
      </c>
      <c r="C37" s="60">
        <f>C38</f>
        <v>0</v>
      </c>
      <c r="D37" s="144">
        <f>D38</f>
        <v>0</v>
      </c>
      <c r="E37" s="144">
        <f>E38</f>
        <v>300</v>
      </c>
      <c r="F37" s="241"/>
      <c r="G37" s="145"/>
    </row>
    <row r="38" spans="1:7" s="221" customFormat="1" ht="13.2" x14ac:dyDescent="0.3">
      <c r="A38" s="222">
        <v>3299</v>
      </c>
      <c r="B38" s="223" t="s">
        <v>138</v>
      </c>
      <c r="C38" s="224"/>
      <c r="D38" s="225"/>
      <c r="E38" s="225">
        <v>300</v>
      </c>
      <c r="F38" s="248"/>
      <c r="G38" s="220"/>
    </row>
    <row r="39" spans="1:7" s="13" customFormat="1" ht="13.2" x14ac:dyDescent="0.3">
      <c r="A39" s="142">
        <v>4</v>
      </c>
      <c r="B39" s="143" t="s">
        <v>22</v>
      </c>
      <c r="C39" s="60">
        <f t="shared" ref="C39:E41" si="10">C40</f>
        <v>0</v>
      </c>
      <c r="D39" s="144">
        <f t="shared" si="10"/>
        <v>0</v>
      </c>
      <c r="E39" s="144">
        <f t="shared" si="10"/>
        <v>0</v>
      </c>
      <c r="F39" s="241" t="e">
        <f t="shared" si="7"/>
        <v>#DIV/0!</v>
      </c>
      <c r="G39" s="145" t="e">
        <f t="shared" si="8"/>
        <v>#DIV/0!</v>
      </c>
    </row>
    <row r="40" spans="1:7" s="13" customFormat="1" ht="26.4" x14ac:dyDescent="0.3">
      <c r="A40" s="142">
        <v>42</v>
      </c>
      <c r="B40" s="143" t="s">
        <v>40</v>
      </c>
      <c r="C40" s="60">
        <f t="shared" si="10"/>
        <v>0</v>
      </c>
      <c r="D40" s="144">
        <f t="shared" si="10"/>
        <v>0</v>
      </c>
      <c r="E40" s="144">
        <f t="shared" si="10"/>
        <v>0</v>
      </c>
      <c r="F40" s="241" t="e">
        <f t="shared" si="7"/>
        <v>#DIV/0!</v>
      </c>
      <c r="G40" s="145" t="e">
        <f t="shared" si="8"/>
        <v>#DIV/0!</v>
      </c>
    </row>
    <row r="41" spans="1:7" s="13" customFormat="1" ht="13.2" x14ac:dyDescent="0.3">
      <c r="A41" s="142">
        <v>422</v>
      </c>
      <c r="B41" s="143" t="s">
        <v>153</v>
      </c>
      <c r="C41" s="60">
        <f t="shared" si="10"/>
        <v>0</v>
      </c>
      <c r="D41" s="144">
        <f t="shared" si="10"/>
        <v>0</v>
      </c>
      <c r="E41" s="144">
        <f t="shared" si="10"/>
        <v>0</v>
      </c>
      <c r="F41" s="241"/>
      <c r="G41" s="145"/>
    </row>
    <row r="42" spans="1:7" s="221" customFormat="1" ht="13.8" thickBot="1" x14ac:dyDescent="0.35">
      <c r="A42" s="226">
        <v>4226</v>
      </c>
      <c r="B42" s="227" t="s">
        <v>143</v>
      </c>
      <c r="C42" s="228">
        <v>0</v>
      </c>
      <c r="D42" s="229">
        <v>0</v>
      </c>
      <c r="E42" s="229">
        <v>0</v>
      </c>
      <c r="F42" s="249"/>
      <c r="G42" s="230"/>
    </row>
    <row r="43" spans="1:7" s="13" customFormat="1" ht="26.4" x14ac:dyDescent="0.3">
      <c r="A43" s="80" t="s">
        <v>73</v>
      </c>
      <c r="B43" s="81" t="s">
        <v>74</v>
      </c>
      <c r="C43" s="82">
        <f>C44+C58+C63+C49</f>
        <v>45462.479999999996</v>
      </c>
      <c r="D43" s="82">
        <f>D44+D58+D63+D49</f>
        <v>44000</v>
      </c>
      <c r="E43" s="82">
        <f>E44+E58+E63+E49</f>
        <v>18842.21</v>
      </c>
      <c r="F43" s="240">
        <f t="shared" si="7"/>
        <v>41.445627251307016</v>
      </c>
      <c r="G43" s="91">
        <f t="shared" si="8"/>
        <v>42.823204545454544</v>
      </c>
    </row>
    <row r="44" spans="1:7" s="141" customFormat="1" ht="13.2" x14ac:dyDescent="0.3">
      <c r="A44" s="146" t="s">
        <v>43</v>
      </c>
      <c r="B44" s="147" t="s">
        <v>44</v>
      </c>
      <c r="C44" s="148">
        <f>C45</f>
        <v>0</v>
      </c>
      <c r="D44" s="148">
        <f t="shared" ref="D44:E44" si="11">D45</f>
        <v>0</v>
      </c>
      <c r="E44" s="148">
        <f t="shared" si="11"/>
        <v>0</v>
      </c>
      <c r="F44" s="250" t="e">
        <f t="shared" si="7"/>
        <v>#DIV/0!</v>
      </c>
      <c r="G44" s="150" t="e">
        <f t="shared" si="8"/>
        <v>#DIV/0!</v>
      </c>
    </row>
    <row r="45" spans="1:7" s="13" customFormat="1" ht="13.2" x14ac:dyDescent="0.3">
      <c r="A45" s="142">
        <v>4</v>
      </c>
      <c r="B45" s="143" t="s">
        <v>22</v>
      </c>
      <c r="C45" s="60">
        <f t="shared" ref="C45:E47" si="12">C46</f>
        <v>0</v>
      </c>
      <c r="D45" s="144">
        <f t="shared" si="12"/>
        <v>0</v>
      </c>
      <c r="E45" s="144">
        <f t="shared" si="12"/>
        <v>0</v>
      </c>
      <c r="F45" s="241" t="e">
        <f t="shared" si="7"/>
        <v>#DIV/0!</v>
      </c>
      <c r="G45" s="145" t="e">
        <f t="shared" si="8"/>
        <v>#DIV/0!</v>
      </c>
    </row>
    <row r="46" spans="1:7" s="13" customFormat="1" ht="26.4" x14ac:dyDescent="0.3">
      <c r="A46" s="142">
        <v>42</v>
      </c>
      <c r="B46" s="143" t="s">
        <v>40</v>
      </c>
      <c r="C46" s="60">
        <f t="shared" si="12"/>
        <v>0</v>
      </c>
      <c r="D46" s="144">
        <f t="shared" si="12"/>
        <v>0</v>
      </c>
      <c r="E46" s="144">
        <f t="shared" si="12"/>
        <v>0</v>
      </c>
      <c r="F46" s="241" t="e">
        <f t="shared" si="7"/>
        <v>#DIV/0!</v>
      </c>
      <c r="G46" s="145" t="e">
        <f t="shared" si="8"/>
        <v>#DIV/0!</v>
      </c>
    </row>
    <row r="47" spans="1:7" s="13" customFormat="1" ht="13.2" x14ac:dyDescent="0.3">
      <c r="A47" s="142">
        <v>422</v>
      </c>
      <c r="B47" s="143" t="s">
        <v>153</v>
      </c>
      <c r="C47" s="60">
        <f t="shared" si="12"/>
        <v>0</v>
      </c>
      <c r="D47" s="144">
        <f t="shared" si="12"/>
        <v>0</v>
      </c>
      <c r="E47" s="144">
        <f t="shared" si="12"/>
        <v>0</v>
      </c>
      <c r="F47" s="241"/>
      <c r="G47" s="145"/>
    </row>
    <row r="48" spans="1:7" s="221" customFormat="1" ht="13.2" x14ac:dyDescent="0.3">
      <c r="A48" s="222">
        <v>4227</v>
      </c>
      <c r="B48" s="223" t="s">
        <v>145</v>
      </c>
      <c r="C48" s="224">
        <v>0</v>
      </c>
      <c r="D48" s="225"/>
      <c r="E48" s="225">
        <v>0</v>
      </c>
      <c r="F48" s="248"/>
      <c r="G48" s="220"/>
    </row>
    <row r="49" spans="1:7" s="141" customFormat="1" ht="13.2" x14ac:dyDescent="0.3">
      <c r="A49" s="151" t="s">
        <v>322</v>
      </c>
      <c r="B49" s="152" t="s">
        <v>172</v>
      </c>
      <c r="C49" s="153">
        <f t="shared" ref="C49:D49" si="13">C50+C54</f>
        <v>42993.279999999999</v>
      </c>
      <c r="D49" s="149">
        <f t="shared" si="13"/>
        <v>40000</v>
      </c>
      <c r="E49" s="149">
        <f t="shared" ref="E49" si="14">E50+E54</f>
        <v>18056.8</v>
      </c>
      <c r="F49" s="250">
        <f>E49/C49*100</f>
        <v>41.999121723208837</v>
      </c>
      <c r="G49" s="150">
        <f>E49/D49*100</f>
        <v>45.141999999999996</v>
      </c>
    </row>
    <row r="50" spans="1:7" s="13" customFormat="1" ht="13.2" x14ac:dyDescent="0.3">
      <c r="A50" s="154" t="s">
        <v>49</v>
      </c>
      <c r="B50" s="155" t="s">
        <v>20</v>
      </c>
      <c r="C50" s="156">
        <f t="shared" ref="C50:E50" si="15">C51</f>
        <v>42993.279999999999</v>
      </c>
      <c r="D50" s="144">
        <f t="shared" si="15"/>
        <v>40000</v>
      </c>
      <c r="E50" s="144">
        <f t="shared" si="15"/>
        <v>18056.8</v>
      </c>
      <c r="F50" s="241">
        <f>E50/C50*100</f>
        <v>41.999121723208837</v>
      </c>
      <c r="G50" s="145">
        <f>E50/D50*100</f>
        <v>45.141999999999996</v>
      </c>
    </row>
    <row r="51" spans="1:7" s="13" customFormat="1" ht="13.2" x14ac:dyDescent="0.3">
      <c r="A51" s="154" t="s">
        <v>50</v>
      </c>
      <c r="B51" s="155" t="s">
        <v>33</v>
      </c>
      <c r="C51" s="156">
        <f t="shared" ref="C51:E52" si="16">C52</f>
        <v>42993.279999999999</v>
      </c>
      <c r="D51" s="144">
        <f t="shared" si="16"/>
        <v>40000</v>
      </c>
      <c r="E51" s="144">
        <f t="shared" si="16"/>
        <v>18056.8</v>
      </c>
      <c r="F51" s="241">
        <f>E51/C51*100</f>
        <v>41.999121723208837</v>
      </c>
      <c r="G51" s="145">
        <f>E51/D51*100</f>
        <v>45.141999999999996</v>
      </c>
    </row>
    <row r="52" spans="1:7" s="13" customFormat="1" ht="13.2" x14ac:dyDescent="0.3">
      <c r="A52" s="142">
        <v>322</v>
      </c>
      <c r="B52" s="143" t="s">
        <v>151</v>
      </c>
      <c r="C52" s="60">
        <f t="shared" si="16"/>
        <v>42993.279999999999</v>
      </c>
      <c r="D52" s="144">
        <f t="shared" si="16"/>
        <v>40000</v>
      </c>
      <c r="E52" s="144">
        <f t="shared" si="16"/>
        <v>18056.8</v>
      </c>
      <c r="F52" s="241"/>
      <c r="G52" s="145"/>
    </row>
    <row r="53" spans="1:7" s="221" customFormat="1" ht="13.2" x14ac:dyDescent="0.3">
      <c r="A53" s="222">
        <v>3222</v>
      </c>
      <c r="B53" s="223" t="s">
        <v>154</v>
      </c>
      <c r="C53" s="224">
        <v>42993.279999999999</v>
      </c>
      <c r="D53" s="225">
        <v>40000</v>
      </c>
      <c r="E53" s="225">
        <v>18056.8</v>
      </c>
      <c r="F53" s="248"/>
      <c r="G53" s="220"/>
    </row>
    <row r="54" spans="1:7" s="13" customFormat="1" ht="13.2" x14ac:dyDescent="0.3">
      <c r="A54" s="142">
        <v>9</v>
      </c>
      <c r="B54" s="143" t="s">
        <v>45</v>
      </c>
      <c r="C54" s="60">
        <f t="shared" ref="C54:E56" si="17">C55</f>
        <v>0</v>
      </c>
      <c r="D54" s="144">
        <f t="shared" si="17"/>
        <v>0</v>
      </c>
      <c r="E54" s="144">
        <f t="shared" si="17"/>
        <v>0</v>
      </c>
      <c r="F54" s="241" t="e">
        <f t="shared" ref="F54:F55" si="18">E54/C54*100</f>
        <v>#DIV/0!</v>
      </c>
      <c r="G54" s="145" t="e">
        <f>E54/D54*100</f>
        <v>#DIV/0!</v>
      </c>
    </row>
    <row r="55" spans="1:7" s="13" customFormat="1" ht="13.2" x14ac:dyDescent="0.3">
      <c r="A55" s="142">
        <v>92</v>
      </c>
      <c r="B55" s="143" t="s">
        <v>46</v>
      </c>
      <c r="C55" s="60">
        <f t="shared" si="17"/>
        <v>0</v>
      </c>
      <c r="D55" s="144">
        <f t="shared" si="17"/>
        <v>0</v>
      </c>
      <c r="E55" s="144">
        <f t="shared" si="17"/>
        <v>0</v>
      </c>
      <c r="F55" s="241" t="e">
        <f t="shared" si="18"/>
        <v>#DIV/0!</v>
      </c>
      <c r="G55" s="145" t="e">
        <f>E55/D55*100</f>
        <v>#DIV/0!</v>
      </c>
    </row>
    <row r="56" spans="1:7" s="13" customFormat="1" ht="13.2" x14ac:dyDescent="0.3">
      <c r="A56" s="142">
        <v>922</v>
      </c>
      <c r="B56" s="143" t="s">
        <v>148</v>
      </c>
      <c r="C56" s="60">
        <f t="shared" si="17"/>
        <v>0</v>
      </c>
      <c r="D56" s="144">
        <f t="shared" si="17"/>
        <v>0</v>
      </c>
      <c r="E56" s="144">
        <f>E57</f>
        <v>0</v>
      </c>
      <c r="F56" s="241"/>
      <c r="G56" s="145"/>
    </row>
    <row r="57" spans="1:7" s="221" customFormat="1" ht="13.8" thickBot="1" x14ac:dyDescent="0.35">
      <c r="A57" s="216">
        <v>9222</v>
      </c>
      <c r="B57" s="217" t="s">
        <v>149</v>
      </c>
      <c r="C57" s="218"/>
      <c r="D57" s="219">
        <v>0</v>
      </c>
      <c r="E57" s="219">
        <v>0</v>
      </c>
      <c r="F57" s="246"/>
      <c r="G57" s="237"/>
    </row>
    <row r="58" spans="1:7" s="141" customFormat="1" ht="26.4" x14ac:dyDescent="0.3">
      <c r="A58" s="151" t="s">
        <v>321</v>
      </c>
      <c r="B58" s="152" t="s">
        <v>333</v>
      </c>
      <c r="C58" s="153">
        <f t="shared" ref="C58:E59" si="19">C59</f>
        <v>2469.1999999999998</v>
      </c>
      <c r="D58" s="149">
        <f t="shared" si="19"/>
        <v>4000</v>
      </c>
      <c r="E58" s="149">
        <f t="shared" si="19"/>
        <v>785.41</v>
      </c>
      <c r="F58" s="250">
        <f t="shared" si="7"/>
        <v>31.808277984772399</v>
      </c>
      <c r="G58" s="150">
        <f t="shared" si="8"/>
        <v>19.635249999999999</v>
      </c>
    </row>
    <row r="59" spans="1:7" s="13" customFormat="1" ht="13.2" x14ac:dyDescent="0.3">
      <c r="A59" s="154" t="s">
        <v>49</v>
      </c>
      <c r="B59" s="155" t="s">
        <v>20</v>
      </c>
      <c r="C59" s="156">
        <f t="shared" si="19"/>
        <v>2469.1999999999998</v>
      </c>
      <c r="D59" s="144">
        <f t="shared" si="19"/>
        <v>4000</v>
      </c>
      <c r="E59" s="144">
        <f t="shared" si="19"/>
        <v>785.41</v>
      </c>
      <c r="F59" s="241">
        <f t="shared" si="7"/>
        <v>31.808277984772399</v>
      </c>
      <c r="G59" s="145">
        <f t="shared" si="8"/>
        <v>19.635249999999999</v>
      </c>
    </row>
    <row r="60" spans="1:7" s="13" customFormat="1" ht="13.2" x14ac:dyDescent="0.3">
      <c r="A60" s="154" t="s">
        <v>50</v>
      </c>
      <c r="B60" s="155" t="s">
        <v>33</v>
      </c>
      <c r="C60" s="156">
        <f t="shared" ref="C60:E61" si="20">C61</f>
        <v>2469.1999999999998</v>
      </c>
      <c r="D60" s="144">
        <f t="shared" si="20"/>
        <v>4000</v>
      </c>
      <c r="E60" s="144">
        <f t="shared" si="20"/>
        <v>785.41</v>
      </c>
      <c r="F60" s="241">
        <f t="shared" si="7"/>
        <v>31.808277984772399</v>
      </c>
      <c r="G60" s="145">
        <f t="shared" si="8"/>
        <v>19.635249999999999</v>
      </c>
    </row>
    <row r="61" spans="1:7" s="13" customFormat="1" ht="13.2" x14ac:dyDescent="0.3">
      <c r="A61" s="142">
        <v>322</v>
      </c>
      <c r="B61" s="143" t="s">
        <v>151</v>
      </c>
      <c r="C61" s="60">
        <f t="shared" si="20"/>
        <v>2469.1999999999998</v>
      </c>
      <c r="D61" s="144">
        <f t="shared" si="20"/>
        <v>4000</v>
      </c>
      <c r="E61" s="144">
        <f t="shared" si="20"/>
        <v>785.41</v>
      </c>
      <c r="F61" s="241"/>
      <c r="G61" s="145"/>
    </row>
    <row r="62" spans="1:7" s="221" customFormat="1" ht="13.2" x14ac:dyDescent="0.3">
      <c r="A62" s="222">
        <v>3222</v>
      </c>
      <c r="B62" s="223" t="s">
        <v>154</v>
      </c>
      <c r="C62" s="224">
        <v>2469.1999999999998</v>
      </c>
      <c r="D62" s="225">
        <v>4000</v>
      </c>
      <c r="E62" s="225">
        <v>785.41</v>
      </c>
      <c r="F62" s="248"/>
      <c r="G62" s="220"/>
    </row>
    <row r="63" spans="1:7" s="141" customFormat="1" ht="26.4" x14ac:dyDescent="0.3">
      <c r="A63" s="151" t="s">
        <v>323</v>
      </c>
      <c r="B63" s="152" t="s">
        <v>51</v>
      </c>
      <c r="C63" s="153">
        <f>C64+C73</f>
        <v>0</v>
      </c>
      <c r="D63" s="149">
        <f>D64+D73</f>
        <v>0</v>
      </c>
      <c r="E63" s="149">
        <f>E64+E73</f>
        <v>0</v>
      </c>
      <c r="F63" s="250" t="e">
        <f t="shared" si="7"/>
        <v>#DIV/0!</v>
      </c>
      <c r="G63" s="150" t="e">
        <f t="shared" si="8"/>
        <v>#DIV/0!</v>
      </c>
    </row>
    <row r="64" spans="1:7" s="13" customFormat="1" ht="13.2" x14ac:dyDescent="0.3">
      <c r="A64" s="154" t="s">
        <v>49</v>
      </c>
      <c r="B64" s="155" t="s">
        <v>20</v>
      </c>
      <c r="C64" s="156">
        <f>C65</f>
        <v>0</v>
      </c>
      <c r="D64" s="144">
        <f>D65</f>
        <v>0</v>
      </c>
      <c r="E64" s="144">
        <f>E65</f>
        <v>0</v>
      </c>
      <c r="F64" s="241" t="e">
        <f t="shared" si="7"/>
        <v>#DIV/0!</v>
      </c>
      <c r="G64" s="145" t="e">
        <f t="shared" si="8"/>
        <v>#DIV/0!</v>
      </c>
    </row>
    <row r="65" spans="1:7" s="13" customFormat="1" ht="13.2" x14ac:dyDescent="0.3">
      <c r="A65" s="154" t="s">
        <v>50</v>
      </c>
      <c r="B65" s="155" t="s">
        <v>33</v>
      </c>
      <c r="C65" s="156">
        <f>C66+C71</f>
        <v>0</v>
      </c>
      <c r="D65" s="144">
        <f>D66+D71</f>
        <v>0</v>
      </c>
      <c r="E65" s="144">
        <f>E66+E71</f>
        <v>0</v>
      </c>
      <c r="F65" s="241" t="e">
        <f t="shared" si="7"/>
        <v>#DIV/0!</v>
      </c>
      <c r="G65" s="145" t="e">
        <f t="shared" si="8"/>
        <v>#DIV/0!</v>
      </c>
    </row>
    <row r="66" spans="1:7" s="13" customFormat="1" ht="13.2" x14ac:dyDescent="0.3">
      <c r="A66" s="154">
        <v>322</v>
      </c>
      <c r="B66" s="143" t="s">
        <v>151</v>
      </c>
      <c r="C66" s="156">
        <f>SUM(C67:C70)</f>
        <v>0</v>
      </c>
      <c r="D66" s="144">
        <f>SUM(D67:D70)</f>
        <v>0</v>
      </c>
      <c r="E66" s="144">
        <f>SUM(E67:E70)</f>
        <v>0</v>
      </c>
      <c r="F66" s="241"/>
      <c r="G66" s="145"/>
    </row>
    <row r="67" spans="1:7" s="221" customFormat="1" ht="13.2" x14ac:dyDescent="0.3">
      <c r="A67" s="222">
        <v>3221</v>
      </c>
      <c r="B67" s="223" t="s">
        <v>126</v>
      </c>
      <c r="C67" s="224">
        <v>0</v>
      </c>
      <c r="D67" s="225"/>
      <c r="E67" s="225">
        <v>0</v>
      </c>
      <c r="F67" s="248"/>
      <c r="G67" s="220"/>
    </row>
    <row r="68" spans="1:7" s="221" customFormat="1" ht="13.2" x14ac:dyDescent="0.3">
      <c r="A68" s="222">
        <v>3222</v>
      </c>
      <c r="B68" s="223" t="s">
        <v>154</v>
      </c>
      <c r="C68" s="224">
        <v>0</v>
      </c>
      <c r="D68" s="225"/>
      <c r="E68" s="225">
        <v>0</v>
      </c>
      <c r="F68" s="248"/>
      <c r="G68" s="220"/>
    </row>
    <row r="69" spans="1:7" s="221" customFormat="1" ht="13.2" x14ac:dyDescent="0.3">
      <c r="A69" s="222">
        <v>3224</v>
      </c>
      <c r="B69" s="223" t="s">
        <v>120</v>
      </c>
      <c r="C69" s="224">
        <v>0</v>
      </c>
      <c r="D69" s="225"/>
      <c r="E69" s="225">
        <v>0</v>
      </c>
      <c r="F69" s="248"/>
      <c r="G69" s="220"/>
    </row>
    <row r="70" spans="1:7" s="221" customFormat="1" ht="13.2" x14ac:dyDescent="0.3">
      <c r="A70" s="222">
        <v>3225</v>
      </c>
      <c r="B70" s="223" t="s">
        <v>155</v>
      </c>
      <c r="C70" s="224">
        <v>0</v>
      </c>
      <c r="D70" s="225"/>
      <c r="E70" s="225">
        <v>0</v>
      </c>
      <c r="F70" s="248"/>
      <c r="G70" s="220"/>
    </row>
    <row r="71" spans="1:7" s="13" customFormat="1" ht="13.2" x14ac:dyDescent="0.3">
      <c r="A71" s="142">
        <v>323</v>
      </c>
      <c r="B71" s="143" t="s">
        <v>152</v>
      </c>
      <c r="C71" s="60">
        <f>C72</f>
        <v>0</v>
      </c>
      <c r="D71" s="144">
        <f>D72</f>
        <v>0</v>
      </c>
      <c r="E71" s="144">
        <f>E72</f>
        <v>0</v>
      </c>
      <c r="F71" s="241"/>
      <c r="G71" s="145"/>
    </row>
    <row r="72" spans="1:7" s="221" customFormat="1" ht="13.2" x14ac:dyDescent="0.3">
      <c r="A72" s="222">
        <v>3232</v>
      </c>
      <c r="B72" s="223" t="s">
        <v>121</v>
      </c>
      <c r="C72" s="224">
        <v>0</v>
      </c>
      <c r="D72" s="225"/>
      <c r="E72" s="225">
        <v>0</v>
      </c>
      <c r="F72" s="248"/>
      <c r="G72" s="220"/>
    </row>
    <row r="73" spans="1:7" s="13" customFormat="1" ht="13.2" x14ac:dyDescent="0.3">
      <c r="A73" s="154" t="s">
        <v>52</v>
      </c>
      <c r="B73" s="155" t="s">
        <v>22</v>
      </c>
      <c r="C73" s="156">
        <f t="shared" ref="C73:E74" si="21">C74</f>
        <v>0</v>
      </c>
      <c r="D73" s="144">
        <f t="shared" si="21"/>
        <v>0</v>
      </c>
      <c r="E73" s="144">
        <f t="shared" si="21"/>
        <v>0</v>
      </c>
      <c r="F73" s="241" t="e">
        <f t="shared" ref="F73:F123" si="22">E73/C73*100</f>
        <v>#DIV/0!</v>
      </c>
      <c r="G73" s="145" t="e">
        <f t="shared" ref="G73:G123" si="23">E73/D73*100</f>
        <v>#DIV/0!</v>
      </c>
    </row>
    <row r="74" spans="1:7" s="13" customFormat="1" ht="26.4" x14ac:dyDescent="0.3">
      <c r="A74" s="154" t="s">
        <v>53</v>
      </c>
      <c r="B74" s="155" t="s">
        <v>40</v>
      </c>
      <c r="C74" s="156">
        <f t="shared" si="21"/>
        <v>0</v>
      </c>
      <c r="D74" s="144">
        <f t="shared" si="21"/>
        <v>0</v>
      </c>
      <c r="E74" s="144">
        <f t="shared" si="21"/>
        <v>0</v>
      </c>
      <c r="F74" s="241" t="e">
        <f t="shared" si="22"/>
        <v>#DIV/0!</v>
      </c>
      <c r="G74" s="145" t="e">
        <f t="shared" si="23"/>
        <v>#DIV/0!</v>
      </c>
    </row>
    <row r="75" spans="1:7" s="13" customFormat="1" ht="13.2" x14ac:dyDescent="0.3">
      <c r="A75" s="154">
        <v>422</v>
      </c>
      <c r="B75" s="155" t="s">
        <v>153</v>
      </c>
      <c r="C75" s="156">
        <f>C76+C77</f>
        <v>0</v>
      </c>
      <c r="D75" s="144">
        <f>D76+D77</f>
        <v>0</v>
      </c>
      <c r="E75" s="144">
        <f>E76+E77</f>
        <v>0</v>
      </c>
      <c r="F75" s="241"/>
      <c r="G75" s="145"/>
    </row>
    <row r="76" spans="1:7" s="221" customFormat="1" ht="13.2" x14ac:dyDescent="0.3">
      <c r="A76" s="231">
        <v>4221</v>
      </c>
      <c r="B76" s="232" t="s">
        <v>157</v>
      </c>
      <c r="C76" s="233">
        <v>0</v>
      </c>
      <c r="D76" s="225"/>
      <c r="E76" s="225">
        <v>0</v>
      </c>
      <c r="F76" s="248"/>
      <c r="G76" s="220"/>
    </row>
    <row r="77" spans="1:7" s="221" customFormat="1" ht="13.8" thickBot="1" x14ac:dyDescent="0.35">
      <c r="A77" s="226">
        <v>4227</v>
      </c>
      <c r="B77" s="227" t="s">
        <v>145</v>
      </c>
      <c r="C77" s="228">
        <v>0</v>
      </c>
      <c r="D77" s="229"/>
      <c r="E77" s="229">
        <v>0</v>
      </c>
      <c r="F77" s="249"/>
      <c r="G77" s="230"/>
    </row>
    <row r="78" spans="1:7" s="13" customFormat="1" ht="27" thickBot="1" x14ac:dyDescent="0.35">
      <c r="A78" s="98" t="s">
        <v>75</v>
      </c>
      <c r="B78" s="19" t="s">
        <v>76</v>
      </c>
      <c r="C78" s="68">
        <f>C79+C90+C121+C157+C203+C233+C258+C264</f>
        <v>1519013.65</v>
      </c>
      <c r="D78" s="68">
        <f>D79+D90+D121+D157+D203+D233+D258+D264</f>
        <v>1413007.91</v>
      </c>
      <c r="E78" s="68">
        <f>E79+E90+E121+E157+E203+E233+E258+E264</f>
        <v>706507.45</v>
      </c>
      <c r="F78" s="251">
        <f t="shared" si="22"/>
        <v>46.51093490832028</v>
      </c>
      <c r="G78" s="103">
        <f t="shared" si="23"/>
        <v>50.000247344687544</v>
      </c>
    </row>
    <row r="79" spans="1:7" s="141" customFormat="1" ht="13.2" x14ac:dyDescent="0.3">
      <c r="A79" s="157" t="s">
        <v>47</v>
      </c>
      <c r="B79" s="158" t="s">
        <v>48</v>
      </c>
      <c r="C79" s="159">
        <f t="shared" ref="C79:E80" si="24">C80</f>
        <v>10726.07</v>
      </c>
      <c r="D79" s="160">
        <f t="shared" si="24"/>
        <v>0</v>
      </c>
      <c r="E79" s="160">
        <f t="shared" si="24"/>
        <v>0</v>
      </c>
      <c r="F79" s="252">
        <f t="shared" si="22"/>
        <v>0</v>
      </c>
      <c r="G79" s="161" t="e">
        <f t="shared" si="23"/>
        <v>#DIV/0!</v>
      </c>
    </row>
    <row r="80" spans="1:7" s="13" customFormat="1" ht="13.2" x14ac:dyDescent="0.3">
      <c r="A80" s="154" t="s">
        <v>49</v>
      </c>
      <c r="B80" s="155" t="s">
        <v>20</v>
      </c>
      <c r="C80" s="156">
        <f t="shared" si="24"/>
        <v>10726.07</v>
      </c>
      <c r="D80" s="144">
        <f t="shared" si="24"/>
        <v>0</v>
      </c>
      <c r="E80" s="144">
        <f t="shared" si="24"/>
        <v>0</v>
      </c>
      <c r="F80" s="241">
        <f t="shared" si="22"/>
        <v>0</v>
      </c>
      <c r="G80" s="145" t="e">
        <f t="shared" si="23"/>
        <v>#DIV/0!</v>
      </c>
    </row>
    <row r="81" spans="1:7" s="13" customFormat="1" ht="13.2" x14ac:dyDescent="0.3">
      <c r="A81" s="154" t="s">
        <v>50</v>
      </c>
      <c r="B81" s="155" t="s">
        <v>33</v>
      </c>
      <c r="C81" s="156">
        <f>C82+C85+C88</f>
        <v>10726.07</v>
      </c>
      <c r="D81" s="144">
        <f>D82+D85+D88</f>
        <v>0</v>
      </c>
      <c r="E81" s="144">
        <f>E82+E85+E88</f>
        <v>0</v>
      </c>
      <c r="F81" s="241">
        <f t="shared" si="22"/>
        <v>0</v>
      </c>
      <c r="G81" s="145" t="e">
        <f t="shared" si="23"/>
        <v>#DIV/0!</v>
      </c>
    </row>
    <row r="82" spans="1:7" s="13" customFormat="1" ht="13.2" x14ac:dyDescent="0.3">
      <c r="A82" s="154">
        <v>322</v>
      </c>
      <c r="B82" s="143" t="s">
        <v>151</v>
      </c>
      <c r="C82" s="156">
        <f>C83+C84</f>
        <v>10726.07</v>
      </c>
      <c r="D82" s="144">
        <f>D83+D84</f>
        <v>0</v>
      </c>
      <c r="E82" s="144">
        <f>E83+E84</f>
        <v>0</v>
      </c>
      <c r="F82" s="241"/>
      <c r="G82" s="145"/>
    </row>
    <row r="83" spans="1:7" s="221" customFormat="1" ht="13.2" x14ac:dyDescent="0.3">
      <c r="A83" s="222">
        <v>3221</v>
      </c>
      <c r="B83" s="223" t="s">
        <v>126</v>
      </c>
      <c r="C83" s="224">
        <v>0</v>
      </c>
      <c r="D83" s="225">
        <v>0</v>
      </c>
      <c r="E83" s="225">
        <v>0</v>
      </c>
      <c r="F83" s="248"/>
      <c r="G83" s="220"/>
    </row>
    <row r="84" spans="1:7" s="221" customFormat="1" ht="13.2" x14ac:dyDescent="0.3">
      <c r="A84" s="222">
        <v>3223</v>
      </c>
      <c r="B84" s="223" t="s">
        <v>122</v>
      </c>
      <c r="C84" s="224">
        <v>10726.07</v>
      </c>
      <c r="D84" s="225">
        <v>0</v>
      </c>
      <c r="E84" s="225">
        <v>0</v>
      </c>
      <c r="F84" s="248"/>
      <c r="G84" s="220"/>
    </row>
    <row r="85" spans="1:7" s="13" customFormat="1" ht="13.2" x14ac:dyDescent="0.3">
      <c r="A85" s="142">
        <v>323</v>
      </c>
      <c r="B85" s="143" t="s">
        <v>152</v>
      </c>
      <c r="C85" s="60">
        <f>C86+C87</f>
        <v>0</v>
      </c>
      <c r="D85" s="144">
        <f>D86+D87</f>
        <v>0</v>
      </c>
      <c r="E85" s="144">
        <f>E86+E87</f>
        <v>0</v>
      </c>
      <c r="F85" s="241"/>
      <c r="G85" s="145"/>
    </row>
    <row r="86" spans="1:7" s="221" customFormat="1" ht="13.2" x14ac:dyDescent="0.3">
      <c r="A86" s="222">
        <v>3231</v>
      </c>
      <c r="B86" s="223" t="s">
        <v>129</v>
      </c>
      <c r="C86" s="224">
        <v>0</v>
      </c>
      <c r="D86" s="225">
        <v>0</v>
      </c>
      <c r="E86" s="225">
        <v>0</v>
      </c>
      <c r="F86" s="248"/>
      <c r="G86" s="220"/>
    </row>
    <row r="87" spans="1:7" s="221" customFormat="1" ht="13.2" x14ac:dyDescent="0.3">
      <c r="A87" s="222">
        <v>3238</v>
      </c>
      <c r="B87" s="223" t="s">
        <v>133</v>
      </c>
      <c r="C87" s="224">
        <v>0</v>
      </c>
      <c r="D87" s="225">
        <v>0</v>
      </c>
      <c r="E87" s="225">
        <v>0</v>
      </c>
      <c r="F87" s="248"/>
      <c r="G87" s="220"/>
    </row>
    <row r="88" spans="1:7" s="13" customFormat="1" ht="13.2" x14ac:dyDescent="0.3">
      <c r="A88" s="142">
        <v>329</v>
      </c>
      <c r="B88" s="143" t="s">
        <v>138</v>
      </c>
      <c r="C88" s="60">
        <f>C89</f>
        <v>0</v>
      </c>
      <c r="D88" s="144">
        <f>D89</f>
        <v>0</v>
      </c>
      <c r="E88" s="144">
        <f>E89</f>
        <v>0</v>
      </c>
      <c r="F88" s="241"/>
      <c r="G88" s="145"/>
    </row>
    <row r="89" spans="1:7" s="221" customFormat="1" ht="13.2" x14ac:dyDescent="0.3">
      <c r="A89" s="222">
        <v>3296</v>
      </c>
      <c r="B89" s="223" t="s">
        <v>123</v>
      </c>
      <c r="C89" s="224">
        <v>0</v>
      </c>
      <c r="D89" s="225">
        <v>0</v>
      </c>
      <c r="E89" s="225">
        <v>0</v>
      </c>
      <c r="F89" s="248"/>
      <c r="G89" s="220"/>
    </row>
    <row r="90" spans="1:7" s="141" customFormat="1" ht="13.2" x14ac:dyDescent="0.3">
      <c r="A90" s="151" t="s">
        <v>54</v>
      </c>
      <c r="B90" s="152" t="s">
        <v>55</v>
      </c>
      <c r="C90" s="153">
        <f>C91</f>
        <v>72389.459999999992</v>
      </c>
      <c r="D90" s="149">
        <f>D91</f>
        <v>72907.91</v>
      </c>
      <c r="E90" s="149">
        <f>E91</f>
        <v>38821.42</v>
      </c>
      <c r="F90" s="250">
        <f t="shared" si="22"/>
        <v>53.628553107040723</v>
      </c>
      <c r="G90" s="150">
        <f t="shared" si="23"/>
        <v>53.247199103636348</v>
      </c>
    </row>
    <row r="91" spans="1:7" s="13" customFormat="1" ht="13.2" x14ac:dyDescent="0.3">
      <c r="A91" s="154" t="s">
        <v>49</v>
      </c>
      <c r="B91" s="155" t="s">
        <v>20</v>
      </c>
      <c r="C91" s="156">
        <f>C92+C117</f>
        <v>72389.459999999992</v>
      </c>
      <c r="D91" s="144">
        <f>D92+D117</f>
        <v>72907.91</v>
      </c>
      <c r="E91" s="144">
        <f>E92+E117</f>
        <v>38821.42</v>
      </c>
      <c r="F91" s="241">
        <f t="shared" si="22"/>
        <v>53.628553107040723</v>
      </c>
      <c r="G91" s="145">
        <f t="shared" si="23"/>
        <v>53.247199103636348</v>
      </c>
    </row>
    <row r="92" spans="1:7" s="13" customFormat="1" ht="13.2" x14ac:dyDescent="0.3">
      <c r="A92" s="154" t="s">
        <v>50</v>
      </c>
      <c r="B92" s="155" t="s">
        <v>33</v>
      </c>
      <c r="C92" s="156">
        <f>C93+C96+C102+C111</f>
        <v>72115.929999999993</v>
      </c>
      <c r="D92" s="144">
        <f>D93+D96+D102+D111</f>
        <v>72907.91</v>
      </c>
      <c r="E92" s="144">
        <f>E93+E96+E102+E111</f>
        <v>38821.42</v>
      </c>
      <c r="F92" s="241">
        <f t="shared" si="22"/>
        <v>53.831961953482399</v>
      </c>
      <c r="G92" s="145">
        <f t="shared" si="23"/>
        <v>53.247199103636348</v>
      </c>
    </row>
    <row r="93" spans="1:7" s="13" customFormat="1" ht="13.2" x14ac:dyDescent="0.3">
      <c r="A93" s="154">
        <v>321</v>
      </c>
      <c r="B93" s="155" t="s">
        <v>150</v>
      </c>
      <c r="C93" s="156">
        <f>C94+C95</f>
        <v>8978.64</v>
      </c>
      <c r="D93" s="144">
        <f>D94+D95</f>
        <v>9681</v>
      </c>
      <c r="E93" s="144">
        <f>E94+E95</f>
        <v>3687.5</v>
      </c>
      <c r="F93" s="241"/>
      <c r="G93" s="145"/>
    </row>
    <row r="94" spans="1:7" s="221" customFormat="1" ht="13.2" x14ac:dyDescent="0.3">
      <c r="A94" s="231">
        <v>3211</v>
      </c>
      <c r="B94" s="232" t="s">
        <v>124</v>
      </c>
      <c r="C94" s="233">
        <v>7410.22</v>
      </c>
      <c r="D94" s="225">
        <v>8265</v>
      </c>
      <c r="E94" s="225">
        <v>3304.5</v>
      </c>
      <c r="F94" s="248"/>
      <c r="G94" s="220"/>
    </row>
    <row r="95" spans="1:7" s="221" customFormat="1" ht="13.2" x14ac:dyDescent="0.3">
      <c r="A95" s="231">
        <v>3213</v>
      </c>
      <c r="B95" s="232" t="s">
        <v>125</v>
      </c>
      <c r="C95" s="233">
        <v>1568.42</v>
      </c>
      <c r="D95" s="225">
        <v>1416</v>
      </c>
      <c r="E95" s="225">
        <v>383</v>
      </c>
      <c r="F95" s="248"/>
      <c r="G95" s="220"/>
    </row>
    <row r="96" spans="1:7" s="13" customFormat="1" ht="13.2" x14ac:dyDescent="0.3">
      <c r="A96" s="154">
        <v>322</v>
      </c>
      <c r="B96" s="155" t="s">
        <v>151</v>
      </c>
      <c r="C96" s="156">
        <f>SUM(C97:C101)</f>
        <v>29991.890000000003</v>
      </c>
      <c r="D96" s="144">
        <f>SUM(D97:D101)</f>
        <v>35361.910000000003</v>
      </c>
      <c r="E96" s="144">
        <f>SUM(E97:E101)</f>
        <v>21523.17</v>
      </c>
      <c r="F96" s="241"/>
      <c r="G96" s="145"/>
    </row>
    <row r="97" spans="1:7" s="221" customFormat="1" ht="13.2" x14ac:dyDescent="0.3">
      <c r="A97" s="231">
        <v>3221</v>
      </c>
      <c r="B97" s="232" t="s">
        <v>126</v>
      </c>
      <c r="C97" s="233">
        <v>9292.2999999999993</v>
      </c>
      <c r="D97" s="225">
        <v>8608</v>
      </c>
      <c r="E97" s="225">
        <v>3794.75</v>
      </c>
      <c r="F97" s="248"/>
      <c r="G97" s="220"/>
    </row>
    <row r="98" spans="1:7" s="221" customFormat="1" ht="13.2" x14ac:dyDescent="0.3">
      <c r="A98" s="231">
        <v>3223</v>
      </c>
      <c r="B98" s="232" t="s">
        <v>122</v>
      </c>
      <c r="C98" s="233">
        <v>16035.13</v>
      </c>
      <c r="D98" s="225">
        <v>20047.91</v>
      </c>
      <c r="E98" s="225">
        <v>15624.31</v>
      </c>
      <c r="F98" s="248"/>
      <c r="G98" s="220"/>
    </row>
    <row r="99" spans="1:7" s="221" customFormat="1" ht="13.2" x14ac:dyDescent="0.3">
      <c r="A99" s="231">
        <v>3224</v>
      </c>
      <c r="B99" s="232" t="s">
        <v>120</v>
      </c>
      <c r="C99" s="233">
        <v>2058.0100000000002</v>
      </c>
      <c r="D99" s="225">
        <v>3492</v>
      </c>
      <c r="E99" s="225">
        <v>1145.18</v>
      </c>
      <c r="F99" s="248"/>
      <c r="G99" s="220"/>
    </row>
    <row r="100" spans="1:7" s="221" customFormat="1" ht="13.2" x14ac:dyDescent="0.3">
      <c r="A100" s="231">
        <v>3225</v>
      </c>
      <c r="B100" s="232" t="s">
        <v>155</v>
      </c>
      <c r="C100" s="233">
        <v>1900.47</v>
      </c>
      <c r="D100" s="225">
        <v>2154</v>
      </c>
      <c r="E100" s="225">
        <v>413.9</v>
      </c>
      <c r="F100" s="248"/>
      <c r="G100" s="220"/>
    </row>
    <row r="101" spans="1:7" s="221" customFormat="1" ht="13.2" x14ac:dyDescent="0.3">
      <c r="A101" s="231">
        <v>3227</v>
      </c>
      <c r="B101" s="232" t="s">
        <v>128</v>
      </c>
      <c r="C101" s="233">
        <v>705.98</v>
      </c>
      <c r="D101" s="225">
        <v>1060</v>
      </c>
      <c r="E101" s="225">
        <v>545.03</v>
      </c>
      <c r="F101" s="248"/>
      <c r="G101" s="220"/>
    </row>
    <row r="102" spans="1:7" s="13" customFormat="1" ht="13.2" x14ac:dyDescent="0.3">
      <c r="A102" s="154">
        <v>323</v>
      </c>
      <c r="B102" s="155" t="s">
        <v>152</v>
      </c>
      <c r="C102" s="156">
        <f>SUM(C103:C110)</f>
        <v>27397.329999999998</v>
      </c>
      <c r="D102" s="144">
        <f>SUM(D103:D110)</f>
        <v>22740</v>
      </c>
      <c r="E102" s="144">
        <f>SUM(E103:E110)</f>
        <v>13068.339999999998</v>
      </c>
      <c r="F102" s="241"/>
      <c r="G102" s="145"/>
    </row>
    <row r="103" spans="1:7" s="221" customFormat="1" ht="13.2" x14ac:dyDescent="0.3">
      <c r="A103" s="231">
        <v>3231</v>
      </c>
      <c r="B103" s="232" t="s">
        <v>129</v>
      </c>
      <c r="C103" s="233">
        <v>2966.17</v>
      </c>
      <c r="D103" s="225">
        <v>2027</v>
      </c>
      <c r="E103" s="225">
        <v>981.73</v>
      </c>
      <c r="F103" s="248"/>
      <c r="G103" s="220"/>
    </row>
    <row r="104" spans="1:7" s="221" customFormat="1" ht="13.2" x14ac:dyDescent="0.3">
      <c r="A104" s="231">
        <v>3232</v>
      </c>
      <c r="B104" s="232" t="s">
        <v>121</v>
      </c>
      <c r="C104" s="233">
        <v>7297.65</v>
      </c>
      <c r="D104" s="225">
        <v>4000</v>
      </c>
      <c r="E104" s="225">
        <v>1938.3</v>
      </c>
      <c r="F104" s="248"/>
      <c r="G104" s="220"/>
    </row>
    <row r="105" spans="1:7" s="221" customFormat="1" ht="13.2" x14ac:dyDescent="0.3">
      <c r="A105" s="231">
        <v>3233</v>
      </c>
      <c r="B105" s="232" t="s">
        <v>130</v>
      </c>
      <c r="C105" s="233">
        <v>0</v>
      </c>
      <c r="D105" s="225">
        <v>100</v>
      </c>
      <c r="E105" s="225">
        <v>0</v>
      </c>
      <c r="F105" s="248"/>
      <c r="G105" s="220"/>
    </row>
    <row r="106" spans="1:7" s="221" customFormat="1" ht="13.2" x14ac:dyDescent="0.3">
      <c r="A106" s="231">
        <v>3234</v>
      </c>
      <c r="B106" s="232" t="s">
        <v>131</v>
      </c>
      <c r="C106" s="233">
        <v>6257.24</v>
      </c>
      <c r="D106" s="225">
        <v>5500</v>
      </c>
      <c r="E106" s="225">
        <v>3634.96</v>
      </c>
      <c r="F106" s="248"/>
      <c r="G106" s="220"/>
    </row>
    <row r="107" spans="1:7" s="221" customFormat="1" ht="13.2" x14ac:dyDescent="0.3">
      <c r="A107" s="231">
        <v>3236</v>
      </c>
      <c r="B107" s="232" t="s">
        <v>156</v>
      </c>
      <c r="C107" s="233">
        <v>2654.2</v>
      </c>
      <c r="D107" s="225">
        <v>3267</v>
      </c>
      <c r="E107" s="225">
        <v>759.48</v>
      </c>
      <c r="F107" s="248"/>
      <c r="G107" s="220"/>
    </row>
    <row r="108" spans="1:7" s="221" customFormat="1" ht="13.2" x14ac:dyDescent="0.3">
      <c r="A108" s="231">
        <v>3237</v>
      </c>
      <c r="B108" s="232" t="s">
        <v>132</v>
      </c>
      <c r="C108" s="233">
        <v>0</v>
      </c>
      <c r="D108" s="225">
        <v>0</v>
      </c>
      <c r="E108" s="225">
        <v>0</v>
      </c>
      <c r="F108" s="248"/>
      <c r="G108" s="220"/>
    </row>
    <row r="109" spans="1:7" s="221" customFormat="1" ht="13.2" x14ac:dyDescent="0.3">
      <c r="A109" s="231">
        <v>3238</v>
      </c>
      <c r="B109" s="232" t="s">
        <v>133</v>
      </c>
      <c r="C109" s="233">
        <v>6260.22</v>
      </c>
      <c r="D109" s="225">
        <v>5200</v>
      </c>
      <c r="E109" s="225">
        <v>3721.81</v>
      </c>
      <c r="F109" s="248"/>
      <c r="G109" s="220"/>
    </row>
    <row r="110" spans="1:7" s="221" customFormat="1" ht="13.2" x14ac:dyDescent="0.3">
      <c r="A110" s="231">
        <v>3239</v>
      </c>
      <c r="B110" s="232" t="s">
        <v>134</v>
      </c>
      <c r="C110" s="233">
        <v>1961.85</v>
      </c>
      <c r="D110" s="225">
        <v>2646</v>
      </c>
      <c r="E110" s="225">
        <v>2032.06</v>
      </c>
      <c r="F110" s="248"/>
      <c r="G110" s="220"/>
    </row>
    <row r="111" spans="1:7" s="13" customFormat="1" ht="13.2" x14ac:dyDescent="0.3">
      <c r="A111" s="154">
        <v>329</v>
      </c>
      <c r="B111" s="155" t="s">
        <v>138</v>
      </c>
      <c r="C111" s="156">
        <f>SUM(C112:C116)</f>
        <v>5748.07</v>
      </c>
      <c r="D111" s="144">
        <f>SUM(D112:D116)</f>
        <v>5125</v>
      </c>
      <c r="E111" s="144">
        <f>SUM(E112:E116)</f>
        <v>542.41000000000008</v>
      </c>
      <c r="F111" s="241"/>
      <c r="G111" s="145"/>
    </row>
    <row r="112" spans="1:7" s="221" customFormat="1" ht="13.2" x14ac:dyDescent="0.3">
      <c r="A112" s="231">
        <v>3292</v>
      </c>
      <c r="B112" s="232" t="s">
        <v>135</v>
      </c>
      <c r="C112" s="233">
        <v>1416.28</v>
      </c>
      <c r="D112" s="225">
        <v>1000</v>
      </c>
      <c r="E112" s="225">
        <v>25.81</v>
      </c>
      <c r="F112" s="248"/>
      <c r="G112" s="220"/>
    </row>
    <row r="113" spans="1:7" s="221" customFormat="1" ht="13.2" x14ac:dyDescent="0.3">
      <c r="A113" s="231">
        <v>3293</v>
      </c>
      <c r="B113" s="232" t="s">
        <v>136</v>
      </c>
      <c r="C113" s="233">
        <v>1364.59</v>
      </c>
      <c r="D113" s="225">
        <v>1420</v>
      </c>
      <c r="E113" s="225">
        <v>40.1</v>
      </c>
      <c r="F113" s="248"/>
      <c r="G113" s="220"/>
    </row>
    <row r="114" spans="1:7" s="221" customFormat="1" ht="13.2" x14ac:dyDescent="0.3">
      <c r="A114" s="231">
        <v>3294</v>
      </c>
      <c r="B114" s="232" t="s">
        <v>158</v>
      </c>
      <c r="C114" s="233">
        <v>240</v>
      </c>
      <c r="D114" s="225">
        <v>385</v>
      </c>
      <c r="E114" s="225">
        <v>165</v>
      </c>
      <c r="F114" s="248"/>
      <c r="G114" s="220"/>
    </row>
    <row r="115" spans="1:7" s="221" customFormat="1" ht="13.2" x14ac:dyDescent="0.3">
      <c r="A115" s="231">
        <v>3295</v>
      </c>
      <c r="B115" s="232" t="s">
        <v>137</v>
      </c>
      <c r="C115" s="233">
        <v>588.52</v>
      </c>
      <c r="D115" s="225">
        <v>100</v>
      </c>
      <c r="E115" s="225">
        <v>16.59</v>
      </c>
      <c r="F115" s="248"/>
      <c r="G115" s="220"/>
    </row>
    <row r="116" spans="1:7" s="221" customFormat="1" ht="13.2" x14ac:dyDescent="0.3">
      <c r="A116" s="231">
        <v>3299</v>
      </c>
      <c r="B116" s="232" t="s">
        <v>138</v>
      </c>
      <c r="C116" s="233">
        <v>2138.6799999999998</v>
      </c>
      <c r="D116" s="225">
        <v>2220</v>
      </c>
      <c r="E116" s="225">
        <v>294.91000000000003</v>
      </c>
      <c r="F116" s="248"/>
      <c r="G116" s="220"/>
    </row>
    <row r="117" spans="1:7" s="13" customFormat="1" ht="13.2" x14ac:dyDescent="0.3">
      <c r="A117" s="154" t="s">
        <v>56</v>
      </c>
      <c r="B117" s="155" t="s">
        <v>57</v>
      </c>
      <c r="C117" s="156">
        <f>C118</f>
        <v>273.52999999999997</v>
      </c>
      <c r="D117" s="144">
        <v>0</v>
      </c>
      <c r="E117" s="144">
        <f>E118</f>
        <v>0</v>
      </c>
      <c r="F117" s="241">
        <f t="shared" si="22"/>
        <v>0</v>
      </c>
      <c r="G117" s="145" t="e">
        <f t="shared" si="23"/>
        <v>#DIV/0!</v>
      </c>
    </row>
    <row r="118" spans="1:7" s="13" customFormat="1" ht="13.2" x14ac:dyDescent="0.3">
      <c r="A118" s="154">
        <v>343</v>
      </c>
      <c r="B118" s="155" t="s">
        <v>159</v>
      </c>
      <c r="C118" s="156">
        <f>C119+C120</f>
        <v>273.52999999999997</v>
      </c>
      <c r="D118" s="144">
        <f>D119+D120</f>
        <v>0</v>
      </c>
      <c r="E118" s="144">
        <f>E119+E120</f>
        <v>0</v>
      </c>
      <c r="F118" s="241"/>
      <c r="G118" s="145"/>
    </row>
    <row r="119" spans="1:7" s="221" customFormat="1" ht="13.2" x14ac:dyDescent="0.3">
      <c r="A119" s="231">
        <v>3431</v>
      </c>
      <c r="B119" s="232" t="s">
        <v>139</v>
      </c>
      <c r="C119" s="233">
        <v>273.52999999999997</v>
      </c>
      <c r="D119" s="225">
        <v>0</v>
      </c>
      <c r="E119" s="225">
        <v>0</v>
      </c>
      <c r="F119" s="248"/>
      <c r="G119" s="220"/>
    </row>
    <row r="120" spans="1:7" s="221" customFormat="1" ht="13.2" x14ac:dyDescent="0.3">
      <c r="A120" s="231">
        <v>3433</v>
      </c>
      <c r="B120" s="232" t="s">
        <v>140</v>
      </c>
      <c r="C120" s="233">
        <v>0</v>
      </c>
      <c r="D120" s="225">
        <v>0</v>
      </c>
      <c r="E120" s="225">
        <v>0</v>
      </c>
      <c r="F120" s="248"/>
      <c r="G120" s="220"/>
    </row>
    <row r="121" spans="1:7" s="141" customFormat="1" ht="13.2" x14ac:dyDescent="0.3">
      <c r="A121" s="151" t="s">
        <v>58</v>
      </c>
      <c r="B121" s="152" t="s">
        <v>59</v>
      </c>
      <c r="C121" s="153">
        <f>C122+C147</f>
        <v>2340.2399999999998</v>
      </c>
      <c r="D121" s="149">
        <f>D122+D147</f>
        <v>7000</v>
      </c>
      <c r="E121" s="149">
        <f>E122+E147</f>
        <v>1165.44</v>
      </c>
      <c r="F121" s="250">
        <f t="shared" si="22"/>
        <v>49.800020510716855</v>
      </c>
      <c r="G121" s="150">
        <f t="shared" si="23"/>
        <v>16.649142857142856</v>
      </c>
    </row>
    <row r="122" spans="1:7" s="13" customFormat="1" ht="13.2" x14ac:dyDescent="0.3">
      <c r="A122" s="154" t="s">
        <v>49</v>
      </c>
      <c r="B122" s="155" t="s">
        <v>20</v>
      </c>
      <c r="C122" s="156">
        <f>C123+C141+C144</f>
        <v>2026.75</v>
      </c>
      <c r="D122" s="156">
        <f>D123+D141+D144</f>
        <v>5900</v>
      </c>
      <c r="E122" s="156">
        <f t="shared" ref="E122" si="25">E123+E141+E144</f>
        <v>1165.44</v>
      </c>
      <c r="F122" s="253">
        <f t="shared" si="22"/>
        <v>57.502898729493033</v>
      </c>
      <c r="G122" s="145">
        <f t="shared" si="23"/>
        <v>19.753220338983052</v>
      </c>
    </row>
    <row r="123" spans="1:7" s="13" customFormat="1" ht="13.2" x14ac:dyDescent="0.3">
      <c r="A123" s="154" t="s">
        <v>50</v>
      </c>
      <c r="B123" s="155" t="s">
        <v>33</v>
      </c>
      <c r="C123" s="156">
        <f>C124+C126+C130+C137</f>
        <v>2026.75</v>
      </c>
      <c r="D123" s="144">
        <f>D124+D126+D130+D137</f>
        <v>5900</v>
      </c>
      <c r="E123" s="144">
        <f>E124+E126+E130+E137</f>
        <v>1165.44</v>
      </c>
      <c r="F123" s="241">
        <f t="shared" si="22"/>
        <v>57.502898729493033</v>
      </c>
      <c r="G123" s="145">
        <f t="shared" si="23"/>
        <v>19.753220338983052</v>
      </c>
    </row>
    <row r="124" spans="1:7" s="13" customFormat="1" ht="13.2" x14ac:dyDescent="0.3">
      <c r="A124" s="154">
        <v>321</v>
      </c>
      <c r="B124" s="155" t="s">
        <v>150</v>
      </c>
      <c r="C124" s="156">
        <f>C125</f>
        <v>0</v>
      </c>
      <c r="D124" s="144">
        <f>D125</f>
        <v>0</v>
      </c>
      <c r="E124" s="144">
        <f>E125</f>
        <v>0</v>
      </c>
      <c r="F124" s="241"/>
      <c r="G124" s="145"/>
    </row>
    <row r="125" spans="1:7" s="221" customFormat="1" ht="13.2" x14ac:dyDescent="0.3">
      <c r="A125" s="231">
        <v>3211</v>
      </c>
      <c r="B125" s="232" t="s">
        <v>124</v>
      </c>
      <c r="C125" s="233">
        <v>0</v>
      </c>
      <c r="D125" s="225"/>
      <c r="E125" s="225">
        <v>0</v>
      </c>
      <c r="F125" s="248"/>
      <c r="G125" s="220"/>
    </row>
    <row r="126" spans="1:7" s="13" customFormat="1" ht="13.2" x14ac:dyDescent="0.3">
      <c r="A126" s="154">
        <v>322</v>
      </c>
      <c r="B126" s="155" t="s">
        <v>151</v>
      </c>
      <c r="C126" s="156">
        <f>SUM(C127:C129)</f>
        <v>1384.24</v>
      </c>
      <c r="D126" s="144">
        <f>SUM(D127:D129)</f>
        <v>3200</v>
      </c>
      <c r="E126" s="144">
        <f>SUM(E127:E129)</f>
        <v>1165.44</v>
      </c>
      <c r="F126" s="241"/>
      <c r="G126" s="145"/>
    </row>
    <row r="127" spans="1:7" s="221" customFormat="1" ht="13.2" x14ac:dyDescent="0.3">
      <c r="A127" s="231">
        <v>3223</v>
      </c>
      <c r="B127" s="232" t="s">
        <v>122</v>
      </c>
      <c r="C127" s="233">
        <v>1384.24</v>
      </c>
      <c r="D127" s="225">
        <v>3000</v>
      </c>
      <c r="E127" s="225">
        <v>1165.44</v>
      </c>
      <c r="F127" s="248"/>
      <c r="G127" s="220"/>
    </row>
    <row r="128" spans="1:7" s="221" customFormat="1" ht="13.2" x14ac:dyDescent="0.3">
      <c r="A128" s="231">
        <v>3224</v>
      </c>
      <c r="B128" s="232" t="s">
        <v>120</v>
      </c>
      <c r="C128" s="233">
        <v>0</v>
      </c>
      <c r="D128" s="225"/>
      <c r="E128" s="225"/>
      <c r="F128" s="248"/>
      <c r="G128" s="220"/>
    </row>
    <row r="129" spans="1:7" s="221" customFormat="1" ht="13.2" x14ac:dyDescent="0.3">
      <c r="A129" s="231">
        <v>3225</v>
      </c>
      <c r="B129" s="232" t="s">
        <v>155</v>
      </c>
      <c r="C129" s="233">
        <v>0</v>
      </c>
      <c r="D129" s="225">
        <v>200</v>
      </c>
      <c r="E129" s="225"/>
      <c r="F129" s="248"/>
      <c r="G129" s="220"/>
    </row>
    <row r="130" spans="1:7" s="13" customFormat="1" ht="13.2" x14ac:dyDescent="0.3">
      <c r="A130" s="154">
        <v>323</v>
      </c>
      <c r="B130" s="155" t="s">
        <v>152</v>
      </c>
      <c r="C130" s="156">
        <f>SUM(C131:C136)</f>
        <v>0</v>
      </c>
      <c r="D130" s="144">
        <f>SUM(D131:D136)</f>
        <v>1000</v>
      </c>
      <c r="E130" s="144">
        <f>SUM(E131:E136)</f>
        <v>0</v>
      </c>
      <c r="F130" s="241"/>
      <c r="G130" s="145"/>
    </row>
    <row r="131" spans="1:7" s="221" customFormat="1" ht="13.2" x14ac:dyDescent="0.3">
      <c r="A131" s="231">
        <v>3231</v>
      </c>
      <c r="B131" s="232" t="s">
        <v>129</v>
      </c>
      <c r="C131" s="233">
        <v>0</v>
      </c>
      <c r="D131" s="225"/>
      <c r="E131" s="225">
        <v>0</v>
      </c>
      <c r="F131" s="248"/>
      <c r="G131" s="220"/>
    </row>
    <row r="132" spans="1:7" s="221" customFormat="1" ht="13.2" x14ac:dyDescent="0.3">
      <c r="A132" s="231">
        <v>3232</v>
      </c>
      <c r="B132" s="232" t="s">
        <v>121</v>
      </c>
      <c r="C132" s="233">
        <v>0</v>
      </c>
      <c r="D132" s="225"/>
      <c r="E132" s="225">
        <v>0</v>
      </c>
      <c r="F132" s="248"/>
      <c r="G132" s="220"/>
    </row>
    <row r="133" spans="1:7" s="221" customFormat="1" ht="13.2" x14ac:dyDescent="0.3">
      <c r="A133" s="231">
        <v>3234</v>
      </c>
      <c r="B133" s="232" t="s">
        <v>131</v>
      </c>
      <c r="C133" s="233">
        <v>0</v>
      </c>
      <c r="D133" s="225"/>
      <c r="E133" s="225">
        <v>0</v>
      </c>
      <c r="F133" s="248"/>
      <c r="G133" s="220"/>
    </row>
    <row r="134" spans="1:7" s="221" customFormat="1" ht="13.2" x14ac:dyDescent="0.3">
      <c r="A134" s="231">
        <v>3237</v>
      </c>
      <c r="B134" s="232" t="s">
        <v>132</v>
      </c>
      <c r="C134" s="233">
        <v>0</v>
      </c>
      <c r="D134" s="225"/>
      <c r="E134" s="225">
        <v>0</v>
      </c>
      <c r="F134" s="248"/>
      <c r="G134" s="220"/>
    </row>
    <row r="135" spans="1:7" s="221" customFormat="1" ht="13.2" x14ac:dyDescent="0.3">
      <c r="A135" s="231">
        <v>3238</v>
      </c>
      <c r="B135" s="232" t="s">
        <v>133</v>
      </c>
      <c r="C135" s="233">
        <v>0</v>
      </c>
      <c r="D135" s="225"/>
      <c r="E135" s="225">
        <v>0</v>
      </c>
      <c r="F135" s="248"/>
      <c r="G135" s="220"/>
    </row>
    <row r="136" spans="1:7" s="221" customFormat="1" ht="13.2" x14ac:dyDescent="0.3">
      <c r="A136" s="231">
        <v>3239</v>
      </c>
      <c r="B136" s="232" t="s">
        <v>134</v>
      </c>
      <c r="C136" s="233">
        <v>0</v>
      </c>
      <c r="D136" s="225">
        <v>1000</v>
      </c>
      <c r="E136" s="225">
        <v>0</v>
      </c>
      <c r="F136" s="248"/>
      <c r="G136" s="220"/>
    </row>
    <row r="137" spans="1:7" s="13" customFormat="1" ht="13.2" x14ac:dyDescent="0.3">
      <c r="A137" s="154">
        <v>329</v>
      </c>
      <c r="B137" s="155" t="s">
        <v>138</v>
      </c>
      <c r="C137" s="156">
        <f>SUM(C138:C140)</f>
        <v>642.51</v>
      </c>
      <c r="D137" s="156">
        <f>SUM(D138:D140)</f>
        <v>1700</v>
      </c>
      <c r="E137" s="156">
        <f t="shared" ref="E137" si="26">SUM(E138:E140)</f>
        <v>0</v>
      </c>
      <c r="F137" s="241"/>
      <c r="G137" s="145"/>
    </row>
    <row r="138" spans="1:7" s="221" customFormat="1" ht="13.2" x14ac:dyDescent="0.3">
      <c r="A138" s="231">
        <v>3293</v>
      </c>
      <c r="B138" s="232" t="s">
        <v>136</v>
      </c>
      <c r="C138" s="233">
        <v>0</v>
      </c>
      <c r="D138" s="225"/>
      <c r="E138" s="225">
        <v>0</v>
      </c>
      <c r="F138" s="248"/>
      <c r="G138" s="220"/>
    </row>
    <row r="139" spans="1:7" s="221" customFormat="1" ht="13.2" x14ac:dyDescent="0.3">
      <c r="A139" s="231">
        <v>3294</v>
      </c>
      <c r="B139" s="232" t="s">
        <v>158</v>
      </c>
      <c r="C139" s="233">
        <v>0</v>
      </c>
      <c r="D139" s="225"/>
      <c r="E139" s="225">
        <v>0</v>
      </c>
      <c r="F139" s="248"/>
      <c r="G139" s="220"/>
    </row>
    <row r="140" spans="1:7" s="221" customFormat="1" ht="13.2" x14ac:dyDescent="0.3">
      <c r="A140" s="231">
        <v>3299</v>
      </c>
      <c r="B140" s="232" t="s">
        <v>138</v>
      </c>
      <c r="C140" s="233">
        <v>642.51</v>
      </c>
      <c r="D140" s="225">
        <v>1700</v>
      </c>
      <c r="E140" s="225"/>
      <c r="F140" s="248"/>
      <c r="G140" s="220"/>
    </row>
    <row r="141" spans="1:7" s="13" customFormat="1" ht="13.2" x14ac:dyDescent="0.3">
      <c r="A141" s="154" t="s">
        <v>56</v>
      </c>
      <c r="B141" s="155" t="s">
        <v>57</v>
      </c>
      <c r="C141" s="156">
        <f t="shared" ref="C141:E142" si="27">C142</f>
        <v>0</v>
      </c>
      <c r="D141" s="144">
        <f t="shared" si="27"/>
        <v>0</v>
      </c>
      <c r="E141" s="144">
        <f t="shared" si="27"/>
        <v>0</v>
      </c>
      <c r="F141" s="241" t="e">
        <f t="shared" ref="F141:F205" si="28">E141/C141*100</f>
        <v>#DIV/0!</v>
      </c>
      <c r="G141" s="145" t="e">
        <f t="shared" ref="G141:G205" si="29">E141/D141*100</f>
        <v>#DIV/0!</v>
      </c>
    </row>
    <row r="142" spans="1:7" s="13" customFormat="1" ht="13.2" x14ac:dyDescent="0.3">
      <c r="A142" s="154">
        <v>343</v>
      </c>
      <c r="B142" s="155" t="s">
        <v>159</v>
      </c>
      <c r="C142" s="156">
        <f t="shared" si="27"/>
        <v>0</v>
      </c>
      <c r="D142" s="144">
        <f t="shared" si="27"/>
        <v>0</v>
      </c>
      <c r="E142" s="144">
        <f t="shared" si="27"/>
        <v>0</v>
      </c>
      <c r="F142" s="162"/>
      <c r="G142" s="145"/>
    </row>
    <row r="143" spans="1:7" s="221" customFormat="1" ht="13.2" x14ac:dyDescent="0.3">
      <c r="A143" s="231">
        <v>3431</v>
      </c>
      <c r="B143" s="232" t="s">
        <v>139</v>
      </c>
      <c r="C143" s="233">
        <v>0</v>
      </c>
      <c r="D143" s="225">
        <v>0</v>
      </c>
      <c r="E143" s="225">
        <v>0</v>
      </c>
      <c r="F143" s="541"/>
      <c r="G143" s="220"/>
    </row>
    <row r="144" spans="1:7" s="13" customFormat="1" ht="13.2" x14ac:dyDescent="0.3">
      <c r="A144" s="154">
        <v>38</v>
      </c>
      <c r="B144" s="155" t="s">
        <v>174</v>
      </c>
      <c r="C144" s="156">
        <f t="shared" ref="C144:E145" si="30">C145</f>
        <v>0</v>
      </c>
      <c r="D144" s="144">
        <f t="shared" si="30"/>
        <v>0</v>
      </c>
      <c r="E144" s="144">
        <f t="shared" si="30"/>
        <v>0</v>
      </c>
      <c r="F144" s="162" t="e">
        <f t="shared" ref="F144" si="31">E144/C144*100</f>
        <v>#DIV/0!</v>
      </c>
      <c r="G144" s="145" t="e">
        <f t="shared" ref="G144" si="32">E144/D144*100</f>
        <v>#DIV/0!</v>
      </c>
    </row>
    <row r="145" spans="1:7" s="13" customFormat="1" ht="13.2" x14ac:dyDescent="0.3">
      <c r="A145" s="154">
        <v>381</v>
      </c>
      <c r="B145" s="155" t="s">
        <v>117</v>
      </c>
      <c r="C145" s="156">
        <f t="shared" si="30"/>
        <v>0</v>
      </c>
      <c r="D145" s="144">
        <f t="shared" si="30"/>
        <v>0</v>
      </c>
      <c r="E145" s="144">
        <f t="shared" si="30"/>
        <v>0</v>
      </c>
      <c r="F145" s="162"/>
      <c r="G145" s="145"/>
    </row>
    <row r="146" spans="1:7" s="221" customFormat="1" ht="13.2" x14ac:dyDescent="0.3">
      <c r="A146" s="231">
        <v>3812</v>
      </c>
      <c r="B146" s="232" t="s">
        <v>173</v>
      </c>
      <c r="C146" s="233"/>
      <c r="D146" s="225">
        <v>0</v>
      </c>
      <c r="E146" s="225"/>
      <c r="F146" s="541"/>
      <c r="G146" s="220"/>
    </row>
    <row r="147" spans="1:7" s="13" customFormat="1" ht="13.2" x14ac:dyDescent="0.3">
      <c r="A147" s="154" t="s">
        <v>52</v>
      </c>
      <c r="B147" s="155" t="s">
        <v>22</v>
      </c>
      <c r="C147" s="156">
        <f>C148</f>
        <v>313.49</v>
      </c>
      <c r="D147" s="144">
        <f>D148</f>
        <v>1100</v>
      </c>
      <c r="E147" s="144">
        <f>E148</f>
        <v>0</v>
      </c>
      <c r="F147" s="162">
        <f t="shared" si="28"/>
        <v>0</v>
      </c>
      <c r="G147" s="145">
        <f t="shared" si="29"/>
        <v>0</v>
      </c>
    </row>
    <row r="148" spans="1:7" s="13" customFormat="1" ht="26.4" x14ac:dyDescent="0.3">
      <c r="A148" s="154" t="s">
        <v>53</v>
      </c>
      <c r="B148" s="155" t="s">
        <v>40</v>
      </c>
      <c r="C148" s="156">
        <f>C149+C155+C153</f>
        <v>313.49</v>
      </c>
      <c r="D148" s="156">
        <f>D149+D155+D153</f>
        <v>1100</v>
      </c>
      <c r="E148" s="156">
        <f t="shared" ref="E148" si="33">E149+E155+E153</f>
        <v>0</v>
      </c>
      <c r="F148" s="162">
        <f t="shared" si="28"/>
        <v>0</v>
      </c>
      <c r="G148" s="145">
        <f t="shared" si="29"/>
        <v>0</v>
      </c>
    </row>
    <row r="149" spans="1:7" s="13" customFormat="1" ht="13.2" x14ac:dyDescent="0.3">
      <c r="A149" s="154">
        <v>422</v>
      </c>
      <c r="B149" s="155" t="s">
        <v>153</v>
      </c>
      <c r="C149" s="156">
        <f>SUM(C150:C152)</f>
        <v>0</v>
      </c>
      <c r="D149" s="144">
        <f>SUM(D150:D152)</f>
        <v>1000</v>
      </c>
      <c r="E149" s="144">
        <f>SUM(E150:E152)</f>
        <v>0</v>
      </c>
      <c r="F149" s="162"/>
      <c r="G149" s="145"/>
    </row>
    <row r="150" spans="1:7" s="221" customFormat="1" ht="13.2" x14ac:dyDescent="0.3">
      <c r="A150" s="231">
        <v>4221</v>
      </c>
      <c r="B150" s="232" t="s">
        <v>157</v>
      </c>
      <c r="C150" s="233">
        <v>0</v>
      </c>
      <c r="D150" s="225">
        <v>1000</v>
      </c>
      <c r="E150" s="225"/>
      <c r="F150" s="541"/>
      <c r="G150" s="220"/>
    </row>
    <row r="151" spans="1:7" s="221" customFormat="1" ht="13.2" x14ac:dyDescent="0.3">
      <c r="A151" s="231">
        <v>4223</v>
      </c>
      <c r="B151" s="232" t="s">
        <v>141</v>
      </c>
      <c r="C151" s="233">
        <v>0</v>
      </c>
      <c r="D151" s="225"/>
      <c r="E151" s="225"/>
      <c r="F151" s="541"/>
      <c r="G151" s="220"/>
    </row>
    <row r="152" spans="1:7" s="221" customFormat="1" ht="13.2" x14ac:dyDescent="0.3">
      <c r="A152" s="231">
        <v>4227</v>
      </c>
      <c r="B152" s="232" t="s">
        <v>145</v>
      </c>
      <c r="C152" s="233"/>
      <c r="D152" s="225"/>
      <c r="E152" s="225"/>
      <c r="F152" s="541"/>
      <c r="G152" s="220"/>
    </row>
    <row r="153" spans="1:7" s="13" customFormat="1" ht="26.4" x14ac:dyDescent="0.3">
      <c r="A153" s="154">
        <v>424</v>
      </c>
      <c r="B153" s="155" t="s">
        <v>170</v>
      </c>
      <c r="C153" s="156">
        <f>C154</f>
        <v>313.49</v>
      </c>
      <c r="D153" s="144">
        <f>D154</f>
        <v>100</v>
      </c>
      <c r="E153" s="144">
        <f>E154</f>
        <v>0</v>
      </c>
      <c r="F153" s="241"/>
      <c r="G153" s="145"/>
    </row>
    <row r="154" spans="1:7" s="221" customFormat="1" ht="13.2" x14ac:dyDescent="0.3">
      <c r="A154" s="231">
        <v>4241</v>
      </c>
      <c r="B154" s="232" t="s">
        <v>144</v>
      </c>
      <c r="C154" s="233">
        <v>313.49</v>
      </c>
      <c r="D154" s="225">
        <v>100</v>
      </c>
      <c r="E154" s="225">
        <v>0</v>
      </c>
      <c r="F154" s="248"/>
      <c r="G154" s="220"/>
    </row>
    <row r="155" spans="1:7" s="13" customFormat="1" ht="13.2" x14ac:dyDescent="0.3">
      <c r="A155" s="154">
        <v>426</v>
      </c>
      <c r="B155" s="155" t="s">
        <v>160</v>
      </c>
      <c r="C155" s="156">
        <f>C156</f>
        <v>0</v>
      </c>
      <c r="D155" s="144">
        <f>D156</f>
        <v>0</v>
      </c>
      <c r="E155" s="144">
        <f>E156</f>
        <v>0</v>
      </c>
      <c r="F155" s="241"/>
      <c r="G155" s="145"/>
    </row>
    <row r="156" spans="1:7" s="221" customFormat="1" ht="13.2" x14ac:dyDescent="0.3">
      <c r="A156" s="231">
        <v>4262</v>
      </c>
      <c r="B156" s="232" t="s">
        <v>142</v>
      </c>
      <c r="C156" s="233">
        <v>0</v>
      </c>
      <c r="D156" s="225">
        <v>0</v>
      </c>
      <c r="E156" s="225">
        <v>0</v>
      </c>
      <c r="F156" s="248"/>
      <c r="G156" s="220"/>
    </row>
    <row r="157" spans="1:7" s="141" customFormat="1" ht="12" customHeight="1" x14ac:dyDescent="0.3">
      <c r="A157" s="151" t="s">
        <v>322</v>
      </c>
      <c r="B157" s="152" t="s">
        <v>60</v>
      </c>
      <c r="C157" s="153">
        <f>C158+C194</f>
        <v>1400699.1199999999</v>
      </c>
      <c r="D157" s="149">
        <f>D158+D194</f>
        <v>1298000</v>
      </c>
      <c r="E157" s="149">
        <f>E158+E194</f>
        <v>666520.59</v>
      </c>
      <c r="F157" s="250">
        <f t="shared" si="28"/>
        <v>47.584851056378191</v>
      </c>
      <c r="G157" s="150">
        <f t="shared" si="29"/>
        <v>51.349814329738052</v>
      </c>
    </row>
    <row r="158" spans="1:7" s="13" customFormat="1" ht="13.2" x14ac:dyDescent="0.3">
      <c r="A158" s="154" t="s">
        <v>49</v>
      </c>
      <c r="B158" s="155" t="s">
        <v>20</v>
      </c>
      <c r="C158" s="156">
        <f>C159+C168+C185+C188+C191</f>
        <v>1356073.5899999999</v>
      </c>
      <c r="D158" s="156">
        <f>D159+D168+D185+D188+D191</f>
        <v>1283000</v>
      </c>
      <c r="E158" s="156">
        <f>E159+E168+E185+E188+E191</f>
        <v>666520.59</v>
      </c>
      <c r="F158" s="253">
        <f t="shared" si="28"/>
        <v>49.15076843285474</v>
      </c>
      <c r="G158" s="145">
        <f t="shared" si="29"/>
        <v>51.950162899454398</v>
      </c>
    </row>
    <row r="159" spans="1:7" s="13" customFormat="1" ht="13.2" x14ac:dyDescent="0.3">
      <c r="A159" s="154" t="s">
        <v>61</v>
      </c>
      <c r="B159" s="155" t="s">
        <v>21</v>
      </c>
      <c r="C159" s="156">
        <f>C160+C164+C166</f>
        <v>1300186.0899999999</v>
      </c>
      <c r="D159" s="144">
        <f>D160+D164+D166</f>
        <v>1237000</v>
      </c>
      <c r="E159" s="144">
        <f>E160+E164+E166</f>
        <v>639027.05999999994</v>
      </c>
      <c r="F159" s="241">
        <f t="shared" si="28"/>
        <v>49.148892217420972</v>
      </c>
      <c r="G159" s="145">
        <f t="shared" si="29"/>
        <v>51.659422797089725</v>
      </c>
    </row>
    <row r="160" spans="1:7" s="13" customFormat="1" ht="13.2" x14ac:dyDescent="0.3">
      <c r="A160" s="154">
        <v>311</v>
      </c>
      <c r="B160" s="155" t="s">
        <v>161</v>
      </c>
      <c r="C160" s="156">
        <f>SUM(C161:C163)</f>
        <v>1085190.5</v>
      </c>
      <c r="D160" s="144">
        <f>SUM(D161:D163)</f>
        <v>1037000</v>
      </c>
      <c r="E160" s="144">
        <f>SUM(E161:E163)</f>
        <v>531879.4</v>
      </c>
      <c r="F160" s="241"/>
      <c r="G160" s="145"/>
    </row>
    <row r="161" spans="1:7" s="221" customFormat="1" ht="13.2" x14ac:dyDescent="0.3">
      <c r="A161" s="231">
        <v>3111</v>
      </c>
      <c r="B161" s="232" t="s">
        <v>162</v>
      </c>
      <c r="C161" s="233">
        <v>1031898.63</v>
      </c>
      <c r="D161" s="225">
        <v>990000</v>
      </c>
      <c r="E161" s="225">
        <v>494135.03999999998</v>
      </c>
      <c r="F161" s="248"/>
      <c r="G161" s="220"/>
    </row>
    <row r="162" spans="1:7" s="221" customFormat="1" ht="13.2" x14ac:dyDescent="0.3">
      <c r="A162" s="231">
        <v>3113</v>
      </c>
      <c r="B162" s="232" t="s">
        <v>163</v>
      </c>
      <c r="C162" s="233">
        <v>33754.01</v>
      </c>
      <c r="D162" s="225">
        <v>30000</v>
      </c>
      <c r="E162" s="225">
        <v>26674.71</v>
      </c>
      <c r="F162" s="248"/>
      <c r="G162" s="220"/>
    </row>
    <row r="163" spans="1:7" s="221" customFormat="1" ht="13.2" x14ac:dyDescent="0.3">
      <c r="A163" s="231">
        <v>3114</v>
      </c>
      <c r="B163" s="232" t="s">
        <v>164</v>
      </c>
      <c r="C163" s="233">
        <v>19537.86</v>
      </c>
      <c r="D163" s="225">
        <v>17000</v>
      </c>
      <c r="E163" s="225">
        <v>11069.65</v>
      </c>
      <c r="F163" s="248"/>
      <c r="G163" s="220"/>
    </row>
    <row r="164" spans="1:7" s="13" customFormat="1" ht="13.2" x14ac:dyDescent="0.3">
      <c r="A164" s="154">
        <v>312</v>
      </c>
      <c r="B164" s="155" t="s">
        <v>146</v>
      </c>
      <c r="C164" s="156">
        <f>C165</f>
        <v>37688.129999999997</v>
      </c>
      <c r="D164" s="144">
        <f>D165</f>
        <v>37000</v>
      </c>
      <c r="E164" s="144">
        <f>E165</f>
        <v>19937.7</v>
      </c>
      <c r="F164" s="241"/>
      <c r="G164" s="145"/>
    </row>
    <row r="165" spans="1:7" s="221" customFormat="1" ht="13.2" x14ac:dyDescent="0.3">
      <c r="A165" s="231">
        <v>3121</v>
      </c>
      <c r="B165" s="232" t="s">
        <v>146</v>
      </c>
      <c r="C165" s="233">
        <v>37688.129999999997</v>
      </c>
      <c r="D165" s="225">
        <v>37000</v>
      </c>
      <c r="E165" s="225">
        <v>19937.7</v>
      </c>
      <c r="F165" s="248"/>
      <c r="G165" s="220"/>
    </row>
    <row r="166" spans="1:7" s="13" customFormat="1" ht="13.2" x14ac:dyDescent="0.3">
      <c r="A166" s="154">
        <v>313</v>
      </c>
      <c r="B166" s="155" t="s">
        <v>165</v>
      </c>
      <c r="C166" s="156">
        <f>C167</f>
        <v>177307.46</v>
      </c>
      <c r="D166" s="156">
        <f t="shared" ref="D166:E166" si="34">D167</f>
        <v>163000</v>
      </c>
      <c r="E166" s="156">
        <f t="shared" si="34"/>
        <v>87209.96</v>
      </c>
      <c r="F166" s="241"/>
      <c r="G166" s="145"/>
    </row>
    <row r="167" spans="1:7" s="221" customFormat="1" ht="13.2" x14ac:dyDescent="0.3">
      <c r="A167" s="231">
        <v>3132</v>
      </c>
      <c r="B167" s="232" t="s">
        <v>166</v>
      </c>
      <c r="C167" s="233">
        <v>177307.46</v>
      </c>
      <c r="D167" s="225">
        <v>163000</v>
      </c>
      <c r="E167" s="225">
        <v>87209.96</v>
      </c>
      <c r="F167" s="248"/>
      <c r="G167" s="220"/>
    </row>
    <row r="168" spans="1:7" s="13" customFormat="1" ht="13.2" x14ac:dyDescent="0.3">
      <c r="A168" s="154" t="s">
        <v>50</v>
      </c>
      <c r="B168" s="155" t="s">
        <v>33</v>
      </c>
      <c r="C168" s="156">
        <f>C169+C173+C176+C181</f>
        <v>55887.5</v>
      </c>
      <c r="D168" s="144">
        <f>D169+D173+D176+D181</f>
        <v>46000</v>
      </c>
      <c r="E168" s="144">
        <f>E169+E173+E176+E181</f>
        <v>27493.530000000002</v>
      </c>
      <c r="F168" s="241">
        <f t="shared" si="28"/>
        <v>49.194417356296135</v>
      </c>
      <c r="G168" s="145">
        <f t="shared" si="29"/>
        <v>59.768543478260874</v>
      </c>
    </row>
    <row r="169" spans="1:7" s="13" customFormat="1" ht="13.2" x14ac:dyDescent="0.3">
      <c r="A169" s="154">
        <v>321</v>
      </c>
      <c r="B169" s="155" t="s">
        <v>150</v>
      </c>
      <c r="C169" s="156">
        <f>C170+C171+C172</f>
        <v>46365.36</v>
      </c>
      <c r="D169" s="156">
        <f t="shared" ref="D169:E169" si="35">D170+D171+D172</f>
        <v>46000</v>
      </c>
      <c r="E169" s="156">
        <f t="shared" si="35"/>
        <v>25087.22</v>
      </c>
      <c r="F169" s="241"/>
      <c r="G169" s="145"/>
    </row>
    <row r="170" spans="1:7" s="221" customFormat="1" ht="13.2" x14ac:dyDescent="0.3">
      <c r="A170" s="231">
        <v>3211</v>
      </c>
      <c r="B170" s="232" t="s">
        <v>124</v>
      </c>
      <c r="C170" s="233">
        <v>0</v>
      </c>
      <c r="D170" s="225">
        <v>0</v>
      </c>
      <c r="E170" s="225"/>
      <c r="F170" s="248"/>
      <c r="G170" s="220"/>
    </row>
    <row r="171" spans="1:7" s="221" customFormat="1" ht="13.2" x14ac:dyDescent="0.3">
      <c r="A171" s="231">
        <v>3212</v>
      </c>
      <c r="B171" s="232" t="s">
        <v>167</v>
      </c>
      <c r="C171" s="233">
        <v>46365.36</v>
      </c>
      <c r="D171" s="225">
        <v>46000</v>
      </c>
      <c r="E171" s="225">
        <v>25087.22</v>
      </c>
      <c r="F171" s="248"/>
      <c r="G171" s="220"/>
    </row>
    <row r="172" spans="1:7" s="221" customFormat="1" ht="13.2" x14ac:dyDescent="0.3">
      <c r="A172" s="231">
        <v>3213</v>
      </c>
      <c r="B172" s="232" t="s">
        <v>125</v>
      </c>
      <c r="C172" s="233">
        <v>0</v>
      </c>
      <c r="D172" s="225">
        <v>0</v>
      </c>
      <c r="E172" s="225"/>
      <c r="F172" s="248"/>
      <c r="G172" s="220"/>
    </row>
    <row r="173" spans="1:7" s="13" customFormat="1" ht="13.2" x14ac:dyDescent="0.3">
      <c r="A173" s="154">
        <v>322</v>
      </c>
      <c r="B173" s="155" t="s">
        <v>151</v>
      </c>
      <c r="C173" s="156">
        <f>SUM(C174:C175)</f>
        <v>7833.6500000000005</v>
      </c>
      <c r="D173" s="156">
        <f>SUM(D174:D175)</f>
        <v>0</v>
      </c>
      <c r="E173" s="156">
        <f>SUM(E174:E175)</f>
        <v>0</v>
      </c>
      <c r="F173" s="241"/>
      <c r="G173" s="145"/>
    </row>
    <row r="174" spans="1:7" s="221" customFormat="1" ht="13.2" x14ac:dyDescent="0.3">
      <c r="A174" s="231">
        <v>3221</v>
      </c>
      <c r="B174" s="232" t="s">
        <v>126</v>
      </c>
      <c r="C174" s="233">
        <v>7126.05</v>
      </c>
      <c r="D174" s="225">
        <v>0</v>
      </c>
      <c r="E174" s="225"/>
      <c r="F174" s="248"/>
      <c r="G174" s="220"/>
    </row>
    <row r="175" spans="1:7" s="221" customFormat="1" ht="13.2" x14ac:dyDescent="0.3">
      <c r="A175" s="231">
        <v>3225</v>
      </c>
      <c r="B175" s="232" t="s">
        <v>155</v>
      </c>
      <c r="C175" s="233">
        <v>707.6</v>
      </c>
      <c r="D175" s="225"/>
      <c r="E175" s="225"/>
      <c r="F175" s="248"/>
      <c r="G175" s="220"/>
    </row>
    <row r="176" spans="1:7" s="13" customFormat="1" ht="13.2" x14ac:dyDescent="0.3">
      <c r="A176" s="154">
        <v>323</v>
      </c>
      <c r="B176" s="155" t="s">
        <v>152</v>
      </c>
      <c r="C176" s="156">
        <f>SUM(C177:C180)</f>
        <v>1066.49</v>
      </c>
      <c r="D176" s="156">
        <f>SUM(D177:D180)</f>
        <v>0</v>
      </c>
      <c r="E176" s="156">
        <f t="shared" ref="E176" si="36">SUM(E177:E180)</f>
        <v>2126.31</v>
      </c>
      <c r="F176" s="241"/>
      <c r="G176" s="145"/>
    </row>
    <row r="177" spans="1:7" s="221" customFormat="1" ht="13.2" x14ac:dyDescent="0.3">
      <c r="A177" s="231">
        <v>3231</v>
      </c>
      <c r="B177" s="232" t="s">
        <v>129</v>
      </c>
      <c r="C177" s="233">
        <v>0</v>
      </c>
      <c r="D177" s="225"/>
      <c r="E177" s="225"/>
      <c r="F177" s="248"/>
      <c r="G177" s="220"/>
    </row>
    <row r="178" spans="1:7" s="221" customFormat="1" ht="13.2" x14ac:dyDescent="0.3">
      <c r="A178" s="231">
        <v>3233</v>
      </c>
      <c r="B178" s="232" t="s">
        <v>130</v>
      </c>
      <c r="C178" s="233">
        <v>0</v>
      </c>
      <c r="D178" s="225"/>
      <c r="E178" s="225"/>
      <c r="F178" s="248"/>
      <c r="G178" s="220"/>
    </row>
    <row r="179" spans="1:7" s="221" customFormat="1" ht="13.2" x14ac:dyDescent="0.3">
      <c r="A179" s="231">
        <v>3236</v>
      </c>
      <c r="B179" s="232" t="s">
        <v>156</v>
      </c>
      <c r="C179" s="233">
        <v>0</v>
      </c>
      <c r="D179" s="225"/>
      <c r="E179" s="225"/>
      <c r="F179" s="248"/>
      <c r="G179" s="220"/>
    </row>
    <row r="180" spans="1:7" s="221" customFormat="1" ht="13.2" x14ac:dyDescent="0.3">
      <c r="A180" s="231">
        <v>3237</v>
      </c>
      <c r="B180" s="232" t="s">
        <v>132</v>
      </c>
      <c r="C180" s="233">
        <v>1066.49</v>
      </c>
      <c r="D180" s="225"/>
      <c r="E180" s="225">
        <v>2126.31</v>
      </c>
      <c r="F180" s="248"/>
      <c r="G180" s="220"/>
    </row>
    <row r="181" spans="1:7" s="13" customFormat="1" ht="13.2" x14ac:dyDescent="0.3">
      <c r="A181" s="154">
        <v>329</v>
      </c>
      <c r="B181" s="155" t="s">
        <v>138</v>
      </c>
      <c r="C181" s="156">
        <f>SUM(C182:C184)</f>
        <v>622</v>
      </c>
      <c r="D181" s="144">
        <f>SUM(D182:D184)</f>
        <v>0</v>
      </c>
      <c r="E181" s="144">
        <f>SUM(E182:E184)</f>
        <v>280</v>
      </c>
      <c r="F181" s="241"/>
      <c r="G181" s="145"/>
    </row>
    <row r="182" spans="1:7" s="221" customFormat="1" ht="13.2" x14ac:dyDescent="0.3">
      <c r="A182" s="231">
        <v>3295</v>
      </c>
      <c r="B182" s="232" t="s">
        <v>137</v>
      </c>
      <c r="C182" s="233">
        <v>0</v>
      </c>
      <c r="D182" s="225"/>
      <c r="E182" s="225"/>
      <c r="F182" s="248"/>
      <c r="G182" s="220"/>
    </row>
    <row r="183" spans="1:7" s="221" customFormat="1" ht="13.2" x14ac:dyDescent="0.3">
      <c r="A183" s="231">
        <v>3296</v>
      </c>
      <c r="B183" s="232" t="s">
        <v>123</v>
      </c>
      <c r="C183" s="233">
        <v>0</v>
      </c>
      <c r="D183" s="225"/>
      <c r="E183" s="225"/>
      <c r="F183" s="248"/>
      <c r="G183" s="220"/>
    </row>
    <row r="184" spans="1:7" s="221" customFormat="1" ht="13.2" x14ac:dyDescent="0.3">
      <c r="A184" s="231">
        <v>3299</v>
      </c>
      <c r="B184" s="232" t="s">
        <v>138</v>
      </c>
      <c r="C184" s="233">
        <v>622</v>
      </c>
      <c r="D184" s="225"/>
      <c r="E184" s="225">
        <v>280</v>
      </c>
      <c r="F184" s="248"/>
      <c r="G184" s="220"/>
    </row>
    <row r="185" spans="1:7" s="13" customFormat="1" ht="13.2" x14ac:dyDescent="0.3">
      <c r="A185" s="154" t="s">
        <v>56</v>
      </c>
      <c r="B185" s="155" t="s">
        <v>57</v>
      </c>
      <c r="C185" s="156">
        <f t="shared" ref="C185:E186" si="37">C186</f>
        <v>0</v>
      </c>
      <c r="D185" s="144">
        <f t="shared" si="37"/>
        <v>0</v>
      </c>
      <c r="E185" s="144">
        <f t="shared" si="37"/>
        <v>0</v>
      </c>
      <c r="F185" s="241" t="e">
        <f t="shared" si="28"/>
        <v>#DIV/0!</v>
      </c>
      <c r="G185" s="145" t="e">
        <f t="shared" si="29"/>
        <v>#DIV/0!</v>
      </c>
    </row>
    <row r="186" spans="1:7" s="13" customFormat="1" ht="13.2" x14ac:dyDescent="0.3">
      <c r="A186" s="154">
        <v>343</v>
      </c>
      <c r="B186" s="155" t="s">
        <v>159</v>
      </c>
      <c r="C186" s="156">
        <f t="shared" si="37"/>
        <v>0</v>
      </c>
      <c r="D186" s="144">
        <f t="shared" si="37"/>
        <v>0</v>
      </c>
      <c r="E186" s="144">
        <f t="shared" si="37"/>
        <v>0</v>
      </c>
      <c r="F186" s="241"/>
      <c r="G186" s="145"/>
    </row>
    <row r="187" spans="1:7" s="221" customFormat="1" ht="13.2" x14ac:dyDescent="0.3">
      <c r="A187" s="231">
        <v>3433</v>
      </c>
      <c r="B187" s="232" t="s">
        <v>140</v>
      </c>
      <c r="C187" s="233">
        <v>0</v>
      </c>
      <c r="D187" s="225">
        <v>0</v>
      </c>
      <c r="E187" s="225">
        <v>0</v>
      </c>
      <c r="F187" s="248"/>
      <c r="G187" s="220"/>
    </row>
    <row r="188" spans="1:7" s="13" customFormat="1" ht="26.4" x14ac:dyDescent="0.3">
      <c r="A188" s="154" t="s">
        <v>62</v>
      </c>
      <c r="B188" s="155" t="s">
        <v>63</v>
      </c>
      <c r="C188" s="156">
        <f t="shared" ref="C188:E189" si="38">C189</f>
        <v>0</v>
      </c>
      <c r="D188" s="144">
        <f t="shared" si="38"/>
        <v>0</v>
      </c>
      <c r="E188" s="144">
        <f t="shared" si="38"/>
        <v>0</v>
      </c>
      <c r="F188" s="241" t="e">
        <f t="shared" si="28"/>
        <v>#DIV/0!</v>
      </c>
      <c r="G188" s="145" t="e">
        <f t="shared" si="29"/>
        <v>#DIV/0!</v>
      </c>
    </row>
    <row r="189" spans="1:7" s="13" customFormat="1" ht="13.2" x14ac:dyDescent="0.3">
      <c r="A189" s="154">
        <v>372</v>
      </c>
      <c r="B189" s="155" t="s">
        <v>168</v>
      </c>
      <c r="C189" s="156">
        <f t="shared" si="38"/>
        <v>0</v>
      </c>
      <c r="D189" s="144">
        <f t="shared" si="38"/>
        <v>0</v>
      </c>
      <c r="E189" s="144">
        <f t="shared" si="38"/>
        <v>0</v>
      </c>
      <c r="F189" s="241"/>
      <c r="G189" s="145"/>
    </row>
    <row r="190" spans="1:7" s="221" customFormat="1" ht="13.2" x14ac:dyDescent="0.3">
      <c r="A190" s="231">
        <v>3722</v>
      </c>
      <c r="B190" s="232" t="s">
        <v>169</v>
      </c>
      <c r="C190" s="233">
        <v>0</v>
      </c>
      <c r="D190" s="225"/>
      <c r="E190" s="225">
        <v>0</v>
      </c>
      <c r="F190" s="248"/>
      <c r="G190" s="220"/>
    </row>
    <row r="191" spans="1:7" s="13" customFormat="1" ht="13.2" x14ac:dyDescent="0.3">
      <c r="A191" s="154">
        <v>38</v>
      </c>
      <c r="B191" s="155" t="s">
        <v>174</v>
      </c>
      <c r="C191" s="156">
        <f t="shared" ref="C191:E192" si="39">C192</f>
        <v>0</v>
      </c>
      <c r="D191" s="144">
        <f t="shared" si="39"/>
        <v>0</v>
      </c>
      <c r="E191" s="144">
        <f t="shared" si="39"/>
        <v>0</v>
      </c>
      <c r="F191" s="241" t="e">
        <f t="shared" si="28"/>
        <v>#DIV/0!</v>
      </c>
      <c r="G191" s="145" t="e">
        <f t="shared" si="29"/>
        <v>#DIV/0!</v>
      </c>
    </row>
    <row r="192" spans="1:7" s="13" customFormat="1" ht="13.2" x14ac:dyDescent="0.3">
      <c r="A192" s="154">
        <v>381</v>
      </c>
      <c r="B192" s="155" t="s">
        <v>117</v>
      </c>
      <c r="C192" s="156">
        <f t="shared" si="39"/>
        <v>0</v>
      </c>
      <c r="D192" s="144">
        <f t="shared" si="39"/>
        <v>0</v>
      </c>
      <c r="E192" s="144">
        <f t="shared" si="39"/>
        <v>0</v>
      </c>
      <c r="F192" s="241"/>
      <c r="G192" s="145"/>
    </row>
    <row r="193" spans="1:7" s="221" customFormat="1" ht="13.2" x14ac:dyDescent="0.3">
      <c r="A193" s="231">
        <v>3812</v>
      </c>
      <c r="B193" s="232" t="s">
        <v>173</v>
      </c>
      <c r="C193" s="233"/>
      <c r="D193" s="225"/>
      <c r="E193" s="225"/>
      <c r="F193" s="248"/>
      <c r="G193" s="220"/>
    </row>
    <row r="194" spans="1:7" s="13" customFormat="1" ht="13.2" x14ac:dyDescent="0.3">
      <c r="A194" s="154" t="s">
        <v>52</v>
      </c>
      <c r="B194" s="155" t="s">
        <v>22</v>
      </c>
      <c r="C194" s="156">
        <f>C195</f>
        <v>44625.53</v>
      </c>
      <c r="D194" s="144">
        <f>D195</f>
        <v>15000</v>
      </c>
      <c r="E194" s="144">
        <f>E195</f>
        <v>0</v>
      </c>
      <c r="F194" s="241">
        <f t="shared" si="28"/>
        <v>0</v>
      </c>
      <c r="G194" s="145">
        <f t="shared" si="29"/>
        <v>0</v>
      </c>
    </row>
    <row r="195" spans="1:7" s="13" customFormat="1" ht="26.4" x14ac:dyDescent="0.3">
      <c r="A195" s="154" t="s">
        <v>53</v>
      </c>
      <c r="B195" s="155" t="s">
        <v>40</v>
      </c>
      <c r="C195" s="156">
        <f>C196+C199+C201</f>
        <v>44625.53</v>
      </c>
      <c r="D195" s="144">
        <f>D196+D199+D201</f>
        <v>15000</v>
      </c>
      <c r="E195" s="144">
        <f>E196+E199+E201</f>
        <v>0</v>
      </c>
      <c r="F195" s="241">
        <f t="shared" si="28"/>
        <v>0</v>
      </c>
      <c r="G195" s="145">
        <f t="shared" si="29"/>
        <v>0</v>
      </c>
    </row>
    <row r="196" spans="1:7" s="13" customFormat="1" ht="13.2" x14ac:dyDescent="0.3">
      <c r="A196" s="154">
        <v>422</v>
      </c>
      <c r="B196" s="155" t="s">
        <v>153</v>
      </c>
      <c r="C196" s="156">
        <f>C197+C198</f>
        <v>29406.58</v>
      </c>
      <c r="D196" s="156">
        <f>D197+D198</f>
        <v>0</v>
      </c>
      <c r="E196" s="156">
        <f t="shared" ref="E196" si="40">E197+E198</f>
        <v>0</v>
      </c>
      <c r="F196" s="241"/>
      <c r="G196" s="145"/>
    </row>
    <row r="197" spans="1:7" s="221" customFormat="1" ht="13.2" x14ac:dyDescent="0.3">
      <c r="A197" s="231">
        <v>4226</v>
      </c>
      <c r="B197" s="232" t="s">
        <v>143</v>
      </c>
      <c r="C197" s="233">
        <v>29406.58</v>
      </c>
      <c r="D197" s="225">
        <v>0</v>
      </c>
      <c r="E197" s="225">
        <v>0</v>
      </c>
      <c r="F197" s="248"/>
      <c r="G197" s="220"/>
    </row>
    <row r="198" spans="1:7" s="221" customFormat="1" ht="13.2" x14ac:dyDescent="0.3">
      <c r="A198" s="231">
        <v>4227</v>
      </c>
      <c r="B198" s="232" t="s">
        <v>145</v>
      </c>
      <c r="C198" s="233">
        <v>0</v>
      </c>
      <c r="D198" s="225">
        <v>0</v>
      </c>
      <c r="E198" s="225"/>
      <c r="F198" s="248"/>
      <c r="G198" s="220"/>
    </row>
    <row r="199" spans="1:7" s="13" customFormat="1" ht="26.4" x14ac:dyDescent="0.3">
      <c r="A199" s="154">
        <v>424</v>
      </c>
      <c r="B199" s="155" t="s">
        <v>170</v>
      </c>
      <c r="C199" s="156">
        <f>C200</f>
        <v>15218.95</v>
      </c>
      <c r="D199" s="144">
        <f>D200</f>
        <v>15000</v>
      </c>
      <c r="E199" s="144">
        <f>E200</f>
        <v>0</v>
      </c>
      <c r="F199" s="241"/>
      <c r="G199" s="145"/>
    </row>
    <row r="200" spans="1:7" s="221" customFormat="1" ht="13.2" x14ac:dyDescent="0.3">
      <c r="A200" s="231">
        <v>4241</v>
      </c>
      <c r="B200" s="232" t="s">
        <v>144</v>
      </c>
      <c r="C200" s="233">
        <v>15218.95</v>
      </c>
      <c r="D200" s="225">
        <v>15000</v>
      </c>
      <c r="E200" s="225"/>
      <c r="F200" s="248"/>
      <c r="G200" s="220"/>
    </row>
    <row r="201" spans="1:7" s="13" customFormat="1" ht="13.2" x14ac:dyDescent="0.3">
      <c r="A201" s="154">
        <v>426</v>
      </c>
      <c r="B201" s="155" t="s">
        <v>160</v>
      </c>
      <c r="C201" s="156">
        <f>C202</f>
        <v>0</v>
      </c>
      <c r="D201" s="144">
        <f>D202</f>
        <v>0</v>
      </c>
      <c r="E201" s="144">
        <f>E202</f>
        <v>0</v>
      </c>
      <c r="F201" s="241"/>
      <c r="G201" s="145"/>
    </row>
    <row r="202" spans="1:7" s="221" customFormat="1" ht="13.2" x14ac:dyDescent="0.3">
      <c r="A202" s="231">
        <v>4262</v>
      </c>
      <c r="B202" s="232" t="s">
        <v>142</v>
      </c>
      <c r="C202" s="233">
        <v>0</v>
      </c>
      <c r="D202" s="225"/>
      <c r="E202" s="225">
        <v>0</v>
      </c>
      <c r="F202" s="248"/>
      <c r="G202" s="220"/>
    </row>
    <row r="203" spans="1:7" s="141" customFormat="1" ht="26.4" x14ac:dyDescent="0.3">
      <c r="A203" s="151" t="s">
        <v>323</v>
      </c>
      <c r="B203" s="152" t="s">
        <v>51</v>
      </c>
      <c r="C203" s="153">
        <f>C204+C224</f>
        <v>30214.78</v>
      </c>
      <c r="D203" s="149">
        <f>D204+D224</f>
        <v>34000</v>
      </c>
      <c r="E203" s="149">
        <f>E204+E224</f>
        <v>0</v>
      </c>
      <c r="F203" s="250">
        <f t="shared" si="28"/>
        <v>0</v>
      </c>
      <c r="G203" s="150">
        <f t="shared" si="29"/>
        <v>0</v>
      </c>
    </row>
    <row r="204" spans="1:7" s="13" customFormat="1" ht="13.2" x14ac:dyDescent="0.3">
      <c r="A204" s="154" t="s">
        <v>49</v>
      </c>
      <c r="B204" s="155" t="s">
        <v>20</v>
      </c>
      <c r="C204" s="156">
        <f>C205+C212</f>
        <v>24942.28</v>
      </c>
      <c r="D204" s="144">
        <f>D205+D212</f>
        <v>34000</v>
      </c>
      <c r="E204" s="144">
        <f>E205+E212</f>
        <v>0</v>
      </c>
      <c r="F204" s="241">
        <f t="shared" si="28"/>
        <v>0</v>
      </c>
      <c r="G204" s="145">
        <f t="shared" si="29"/>
        <v>0</v>
      </c>
    </row>
    <row r="205" spans="1:7" s="13" customFormat="1" ht="13.2" x14ac:dyDescent="0.3">
      <c r="A205" s="154" t="s">
        <v>61</v>
      </c>
      <c r="B205" s="155" t="s">
        <v>21</v>
      </c>
      <c r="C205" s="156">
        <f>C206+C208+C210</f>
        <v>0</v>
      </c>
      <c r="D205" s="144">
        <f>D206+D208+D210</f>
        <v>0</v>
      </c>
      <c r="E205" s="144">
        <f>E206+E208+E210</f>
        <v>0</v>
      </c>
      <c r="F205" s="241" t="e">
        <f t="shared" si="28"/>
        <v>#DIV/0!</v>
      </c>
      <c r="G205" s="145" t="e">
        <f t="shared" si="29"/>
        <v>#DIV/0!</v>
      </c>
    </row>
    <row r="206" spans="1:7" s="13" customFormat="1" ht="13.2" x14ac:dyDescent="0.3">
      <c r="A206" s="154">
        <v>311</v>
      </c>
      <c r="B206" s="155" t="s">
        <v>161</v>
      </c>
      <c r="C206" s="156">
        <f>SUM(C207:C207)</f>
        <v>0</v>
      </c>
      <c r="D206" s="144">
        <f>SUM(D207:D207)</f>
        <v>0</v>
      </c>
      <c r="E206" s="144">
        <f>SUM(E207:E207)</f>
        <v>0</v>
      </c>
      <c r="F206" s="241"/>
      <c r="G206" s="145"/>
    </row>
    <row r="207" spans="1:7" s="221" customFormat="1" ht="13.2" x14ac:dyDescent="0.3">
      <c r="A207" s="231">
        <v>3111</v>
      </c>
      <c r="B207" s="232" t="s">
        <v>162</v>
      </c>
      <c r="C207" s="233"/>
      <c r="D207" s="225"/>
      <c r="E207" s="225"/>
      <c r="F207" s="248"/>
      <c r="G207" s="220"/>
    </row>
    <row r="208" spans="1:7" s="13" customFormat="1" ht="13.2" x14ac:dyDescent="0.3">
      <c r="A208" s="154">
        <v>312</v>
      </c>
      <c r="B208" s="155" t="s">
        <v>146</v>
      </c>
      <c r="C208" s="156">
        <f>C209</f>
        <v>0</v>
      </c>
      <c r="D208" s="144">
        <f>D209</f>
        <v>0</v>
      </c>
      <c r="E208" s="144">
        <f>E209</f>
        <v>0</v>
      </c>
      <c r="F208" s="241"/>
      <c r="G208" s="145"/>
    </row>
    <row r="209" spans="1:7" s="221" customFormat="1" ht="13.2" x14ac:dyDescent="0.3">
      <c r="A209" s="231">
        <v>3121</v>
      </c>
      <c r="B209" s="232" t="s">
        <v>146</v>
      </c>
      <c r="C209" s="233"/>
      <c r="D209" s="225"/>
      <c r="E209" s="225"/>
      <c r="F209" s="248"/>
      <c r="G209" s="220"/>
    </row>
    <row r="210" spans="1:7" s="13" customFormat="1" ht="13.2" x14ac:dyDescent="0.3">
      <c r="A210" s="154">
        <v>313</v>
      </c>
      <c r="B210" s="155" t="s">
        <v>165</v>
      </c>
      <c r="C210" s="156">
        <f>C211</f>
        <v>0</v>
      </c>
      <c r="D210" s="144">
        <f>D211</f>
        <v>0</v>
      </c>
      <c r="E210" s="144">
        <f>E211</f>
        <v>0</v>
      </c>
      <c r="F210" s="241"/>
      <c r="G210" s="145"/>
    </row>
    <row r="211" spans="1:7" s="221" customFormat="1" ht="13.2" x14ac:dyDescent="0.3">
      <c r="A211" s="231">
        <v>3132</v>
      </c>
      <c r="B211" s="232" t="s">
        <v>166</v>
      </c>
      <c r="C211" s="233"/>
      <c r="D211" s="225"/>
      <c r="E211" s="225"/>
      <c r="F211" s="248"/>
      <c r="G211" s="220"/>
    </row>
    <row r="212" spans="1:7" s="13" customFormat="1" ht="13.2" x14ac:dyDescent="0.3">
      <c r="A212" s="154" t="s">
        <v>50</v>
      </c>
      <c r="B212" s="155" t="s">
        <v>33</v>
      </c>
      <c r="C212" s="156">
        <f>C213+C217+C222</f>
        <v>24942.28</v>
      </c>
      <c r="D212" s="144">
        <f>D213+D217+D222</f>
        <v>34000</v>
      </c>
      <c r="E212" s="144">
        <f>E213+E217+E222</f>
        <v>0</v>
      </c>
      <c r="F212" s="241">
        <f t="shared" ref="F212:F276" si="41">E212/C212*100</f>
        <v>0</v>
      </c>
      <c r="G212" s="145">
        <f t="shared" ref="G212:G276" si="42">E212/D212*100</f>
        <v>0</v>
      </c>
    </row>
    <row r="213" spans="1:7" s="13" customFormat="1" ht="13.2" x14ac:dyDescent="0.3">
      <c r="A213" s="154">
        <v>322</v>
      </c>
      <c r="B213" s="155" t="s">
        <v>151</v>
      </c>
      <c r="C213" s="156">
        <f>SUM(C214:C216)</f>
        <v>0</v>
      </c>
      <c r="D213" s="144">
        <f>SUM(D214:D216)</f>
        <v>0</v>
      </c>
      <c r="E213" s="144">
        <f>SUM(E214:E216)</f>
        <v>0</v>
      </c>
      <c r="F213" s="241"/>
      <c r="G213" s="145"/>
    </row>
    <row r="214" spans="1:7" s="221" customFormat="1" ht="13.2" x14ac:dyDescent="0.3">
      <c r="A214" s="231">
        <v>3221</v>
      </c>
      <c r="B214" s="232" t="s">
        <v>126</v>
      </c>
      <c r="C214" s="233"/>
      <c r="D214" s="225"/>
      <c r="E214" s="225"/>
      <c r="F214" s="248"/>
      <c r="G214" s="220"/>
    </row>
    <row r="215" spans="1:7" s="221" customFormat="1" ht="13.2" x14ac:dyDescent="0.3">
      <c r="A215" s="231">
        <v>3224</v>
      </c>
      <c r="B215" s="232" t="s">
        <v>120</v>
      </c>
      <c r="C215" s="233"/>
      <c r="D215" s="225"/>
      <c r="E215" s="225"/>
      <c r="F215" s="248"/>
      <c r="G215" s="220"/>
    </row>
    <row r="216" spans="1:7" s="221" customFormat="1" ht="13.2" x14ac:dyDescent="0.3">
      <c r="A216" s="231">
        <v>3225</v>
      </c>
      <c r="B216" s="232" t="s">
        <v>155</v>
      </c>
      <c r="C216" s="233"/>
      <c r="D216" s="225"/>
      <c r="E216" s="225"/>
      <c r="F216" s="248"/>
      <c r="G216" s="220"/>
    </row>
    <row r="217" spans="1:7" s="13" customFormat="1" ht="13.2" x14ac:dyDescent="0.3">
      <c r="A217" s="154">
        <v>323</v>
      </c>
      <c r="B217" s="155" t="s">
        <v>152</v>
      </c>
      <c r="C217" s="156">
        <f>SUM(C218:C221)</f>
        <v>3000</v>
      </c>
      <c r="D217" s="144">
        <f>SUM(D218:D221)</f>
        <v>4500</v>
      </c>
      <c r="E217" s="144">
        <f>SUM(E218:E221)</f>
        <v>0</v>
      </c>
      <c r="F217" s="241"/>
      <c r="G217" s="145"/>
    </row>
    <row r="218" spans="1:7" s="221" customFormat="1" ht="13.2" x14ac:dyDescent="0.3">
      <c r="A218" s="231">
        <v>3231</v>
      </c>
      <c r="B218" s="232" t="s">
        <v>129</v>
      </c>
      <c r="C218" s="233">
        <v>3000</v>
      </c>
      <c r="D218" s="225">
        <v>4500</v>
      </c>
      <c r="E218" s="225"/>
      <c r="F218" s="248"/>
      <c r="G218" s="220"/>
    </row>
    <row r="219" spans="1:7" s="221" customFormat="1" ht="13.2" x14ac:dyDescent="0.3">
      <c r="A219" s="231">
        <v>3232</v>
      </c>
      <c r="B219" s="232" t="s">
        <v>121</v>
      </c>
      <c r="C219" s="233"/>
      <c r="D219" s="225"/>
      <c r="E219" s="225"/>
      <c r="F219" s="248"/>
      <c r="G219" s="220"/>
    </row>
    <row r="220" spans="1:7" s="221" customFormat="1" ht="13.2" x14ac:dyDescent="0.3">
      <c r="A220" s="231">
        <v>3237</v>
      </c>
      <c r="B220" s="232" t="s">
        <v>132</v>
      </c>
      <c r="C220" s="233"/>
      <c r="D220" s="225"/>
      <c r="E220" s="225"/>
      <c r="F220" s="248"/>
      <c r="G220" s="220"/>
    </row>
    <row r="221" spans="1:7" s="221" customFormat="1" ht="13.2" x14ac:dyDescent="0.3">
      <c r="A221" s="231">
        <v>3239</v>
      </c>
      <c r="B221" s="232" t="s">
        <v>134</v>
      </c>
      <c r="C221" s="233"/>
      <c r="D221" s="225"/>
      <c r="E221" s="225"/>
      <c r="F221" s="248"/>
      <c r="G221" s="220"/>
    </row>
    <row r="222" spans="1:7" s="13" customFormat="1" ht="13.2" x14ac:dyDescent="0.3">
      <c r="A222" s="154">
        <v>329</v>
      </c>
      <c r="B222" s="155" t="s">
        <v>138</v>
      </c>
      <c r="C222" s="156">
        <f>SUM(C223:C223)</f>
        <v>21942.28</v>
      </c>
      <c r="D222" s="144">
        <f>SUM(D223:D223)</f>
        <v>29500</v>
      </c>
      <c r="E222" s="144">
        <f>SUM(E223:E223)</f>
        <v>0</v>
      </c>
      <c r="F222" s="241"/>
      <c r="G222" s="145"/>
    </row>
    <row r="223" spans="1:7" s="221" customFormat="1" ht="13.2" x14ac:dyDescent="0.3">
      <c r="A223" s="231">
        <v>3299</v>
      </c>
      <c r="B223" s="232" t="s">
        <v>138</v>
      </c>
      <c r="C223" s="233">
        <v>21942.28</v>
      </c>
      <c r="D223" s="225">
        <v>29500</v>
      </c>
      <c r="E223" s="225"/>
      <c r="F223" s="248"/>
      <c r="G223" s="220"/>
    </row>
    <row r="224" spans="1:7" s="13" customFormat="1" ht="13.2" x14ac:dyDescent="0.3">
      <c r="A224" s="154" t="s">
        <v>52</v>
      </c>
      <c r="B224" s="155" t="s">
        <v>22</v>
      </c>
      <c r="C224" s="156">
        <f>C225</f>
        <v>5272.5</v>
      </c>
      <c r="D224" s="144">
        <f>D225</f>
        <v>0</v>
      </c>
      <c r="E224" s="144">
        <f>E225</f>
        <v>0</v>
      </c>
      <c r="F224" s="241">
        <f t="shared" si="41"/>
        <v>0</v>
      </c>
      <c r="G224" s="145" t="e">
        <f t="shared" si="42"/>
        <v>#DIV/0!</v>
      </c>
    </row>
    <row r="225" spans="1:7" s="13" customFormat="1" ht="26.4" x14ac:dyDescent="0.3">
      <c r="A225" s="154" t="s">
        <v>53</v>
      </c>
      <c r="B225" s="155" t="s">
        <v>40</v>
      </c>
      <c r="C225" s="156">
        <f>C226+C231</f>
        <v>5272.5</v>
      </c>
      <c r="D225" s="144">
        <f>D226+D231</f>
        <v>0</v>
      </c>
      <c r="E225" s="144">
        <f>E226+E231</f>
        <v>0</v>
      </c>
      <c r="F225" s="241">
        <f t="shared" si="41"/>
        <v>0</v>
      </c>
      <c r="G225" s="145" t="e">
        <f t="shared" si="42"/>
        <v>#DIV/0!</v>
      </c>
    </row>
    <row r="226" spans="1:7" s="13" customFormat="1" ht="13.2" x14ac:dyDescent="0.3">
      <c r="A226" s="154">
        <v>422</v>
      </c>
      <c r="B226" s="155" t="s">
        <v>153</v>
      </c>
      <c r="C226" s="156">
        <f>SUM(C227:C230)</f>
        <v>5272.5</v>
      </c>
      <c r="D226" s="144">
        <f>SUM(D227:D230)</f>
        <v>0</v>
      </c>
      <c r="E226" s="144">
        <f>SUM(E227:E230)</f>
        <v>0</v>
      </c>
      <c r="F226" s="241"/>
      <c r="G226" s="145"/>
    </row>
    <row r="227" spans="1:7" s="221" customFormat="1" ht="13.2" x14ac:dyDescent="0.3">
      <c r="A227" s="231">
        <v>4221</v>
      </c>
      <c r="B227" s="232" t="s">
        <v>157</v>
      </c>
      <c r="C227" s="233">
        <v>5272.5</v>
      </c>
      <c r="D227" s="225"/>
      <c r="E227" s="225"/>
      <c r="F227" s="248"/>
      <c r="G227" s="220"/>
    </row>
    <row r="228" spans="1:7" s="221" customFormat="1" ht="13.2" x14ac:dyDescent="0.3">
      <c r="A228" s="231">
        <v>4223</v>
      </c>
      <c r="B228" s="232" t="s">
        <v>141</v>
      </c>
      <c r="C228" s="233"/>
      <c r="D228" s="225"/>
      <c r="E228" s="225"/>
      <c r="F228" s="248"/>
      <c r="G228" s="220"/>
    </row>
    <row r="229" spans="1:7" s="221" customFormat="1" ht="13.2" x14ac:dyDescent="0.3">
      <c r="A229" s="231">
        <v>4226</v>
      </c>
      <c r="B229" s="232" t="s">
        <v>143</v>
      </c>
      <c r="C229" s="233"/>
      <c r="D229" s="225"/>
      <c r="E229" s="225"/>
      <c r="F229" s="248"/>
      <c r="G229" s="220"/>
    </row>
    <row r="230" spans="1:7" s="221" customFormat="1" ht="13.2" x14ac:dyDescent="0.3">
      <c r="A230" s="231">
        <v>4227</v>
      </c>
      <c r="B230" s="232" t="s">
        <v>145</v>
      </c>
      <c r="C230" s="233"/>
      <c r="D230" s="225"/>
      <c r="E230" s="225"/>
      <c r="F230" s="248"/>
      <c r="G230" s="220"/>
    </row>
    <row r="231" spans="1:7" s="13" customFormat="1" ht="26.4" x14ac:dyDescent="0.3">
      <c r="A231" s="154">
        <v>424</v>
      </c>
      <c r="B231" s="155" t="s">
        <v>170</v>
      </c>
      <c r="C231" s="156">
        <f>C232</f>
        <v>0</v>
      </c>
      <c r="D231" s="144">
        <f>D232</f>
        <v>0</v>
      </c>
      <c r="E231" s="144">
        <f>E232</f>
        <v>0</v>
      </c>
      <c r="F231" s="241"/>
      <c r="G231" s="145"/>
    </row>
    <row r="232" spans="1:7" s="221" customFormat="1" ht="13.2" x14ac:dyDescent="0.3">
      <c r="A232" s="231">
        <v>4241</v>
      </c>
      <c r="B232" s="232" t="s">
        <v>144</v>
      </c>
      <c r="C232" s="233"/>
      <c r="D232" s="225"/>
      <c r="E232" s="225"/>
      <c r="F232" s="248"/>
      <c r="G232" s="220"/>
    </row>
    <row r="233" spans="1:7" s="141" customFormat="1" ht="13.2" x14ac:dyDescent="0.3">
      <c r="A233" s="151" t="s">
        <v>64</v>
      </c>
      <c r="B233" s="152" t="s">
        <v>65</v>
      </c>
      <c r="C233" s="153">
        <f>C234+C251</f>
        <v>2231.98</v>
      </c>
      <c r="D233" s="149">
        <f>D234+D251</f>
        <v>600</v>
      </c>
      <c r="E233" s="149">
        <f>E234+E251</f>
        <v>0</v>
      </c>
      <c r="F233" s="250">
        <f t="shared" si="41"/>
        <v>0</v>
      </c>
      <c r="G233" s="150">
        <f t="shared" si="42"/>
        <v>0</v>
      </c>
    </row>
    <row r="234" spans="1:7" s="13" customFormat="1" ht="13.2" x14ac:dyDescent="0.3">
      <c r="A234" s="154" t="s">
        <v>49</v>
      </c>
      <c r="B234" s="155" t="s">
        <v>20</v>
      </c>
      <c r="C234" s="156">
        <f>C235+C238</f>
        <v>2231.98</v>
      </c>
      <c r="D234" s="144">
        <f>D235+D238</f>
        <v>500</v>
      </c>
      <c r="E234" s="144">
        <f>E235+E238</f>
        <v>0</v>
      </c>
      <c r="F234" s="241">
        <f t="shared" si="41"/>
        <v>0</v>
      </c>
      <c r="G234" s="145">
        <f t="shared" si="42"/>
        <v>0</v>
      </c>
    </row>
    <row r="235" spans="1:7" s="13" customFormat="1" ht="13.2" x14ac:dyDescent="0.3">
      <c r="A235" s="154" t="s">
        <v>61</v>
      </c>
      <c r="B235" s="155" t="s">
        <v>21</v>
      </c>
      <c r="C235" s="156">
        <f t="shared" ref="C235:E236" si="43">C236</f>
        <v>0</v>
      </c>
      <c r="D235" s="144">
        <f t="shared" si="43"/>
        <v>0</v>
      </c>
      <c r="E235" s="144">
        <f t="shared" si="43"/>
        <v>0</v>
      </c>
      <c r="F235" s="241" t="e">
        <f t="shared" si="41"/>
        <v>#DIV/0!</v>
      </c>
      <c r="G235" s="145" t="e">
        <f t="shared" si="42"/>
        <v>#DIV/0!</v>
      </c>
    </row>
    <row r="236" spans="1:7" s="13" customFormat="1" ht="13.2" x14ac:dyDescent="0.3">
      <c r="A236" s="154">
        <v>312</v>
      </c>
      <c r="B236" s="155" t="s">
        <v>146</v>
      </c>
      <c r="C236" s="156">
        <f t="shared" si="43"/>
        <v>0</v>
      </c>
      <c r="D236" s="144">
        <f t="shared" si="43"/>
        <v>0</v>
      </c>
      <c r="E236" s="144">
        <f t="shared" si="43"/>
        <v>0</v>
      </c>
      <c r="F236" s="241"/>
      <c r="G236" s="145"/>
    </row>
    <row r="237" spans="1:7" s="221" customFormat="1" ht="13.2" x14ac:dyDescent="0.3">
      <c r="A237" s="231">
        <v>3121</v>
      </c>
      <c r="B237" s="232" t="s">
        <v>146</v>
      </c>
      <c r="C237" s="233"/>
      <c r="D237" s="225"/>
      <c r="E237" s="225"/>
      <c r="F237" s="248"/>
      <c r="G237" s="220"/>
    </row>
    <row r="238" spans="1:7" s="13" customFormat="1" ht="13.2" x14ac:dyDescent="0.3">
      <c r="A238" s="154" t="s">
        <v>50</v>
      </c>
      <c r="B238" s="155" t="s">
        <v>33</v>
      </c>
      <c r="C238" s="156">
        <f>C239+C241+C246+C248</f>
        <v>2231.98</v>
      </c>
      <c r="D238" s="144">
        <f>D239+D241+D246+D248</f>
        <v>500</v>
      </c>
      <c r="E238" s="144">
        <f>E239+E241+E246+E248</f>
        <v>0</v>
      </c>
      <c r="F238" s="241">
        <f t="shared" si="41"/>
        <v>0</v>
      </c>
      <c r="G238" s="145">
        <f t="shared" si="42"/>
        <v>0</v>
      </c>
    </row>
    <row r="239" spans="1:7" s="13" customFormat="1" ht="13.2" x14ac:dyDescent="0.3">
      <c r="A239" s="154">
        <v>321</v>
      </c>
      <c r="B239" s="155" t="s">
        <v>150</v>
      </c>
      <c r="C239" s="156">
        <f>C240</f>
        <v>0</v>
      </c>
      <c r="D239" s="144">
        <f>D240</f>
        <v>0</v>
      </c>
      <c r="E239" s="144">
        <f>E240</f>
        <v>0</v>
      </c>
      <c r="F239" s="241"/>
      <c r="G239" s="145"/>
    </row>
    <row r="240" spans="1:7" s="221" customFormat="1" ht="13.2" x14ac:dyDescent="0.3">
      <c r="A240" s="231">
        <v>3211</v>
      </c>
      <c r="B240" s="232" t="s">
        <v>124</v>
      </c>
      <c r="C240" s="233"/>
      <c r="D240" s="225"/>
      <c r="E240" s="225"/>
      <c r="F240" s="248"/>
      <c r="G240" s="220"/>
    </row>
    <row r="241" spans="1:7" s="13" customFormat="1" ht="13.2" x14ac:dyDescent="0.3">
      <c r="A241" s="154">
        <v>322</v>
      </c>
      <c r="B241" s="155" t="s">
        <v>151</v>
      </c>
      <c r="C241" s="156">
        <f>SUM(C242:C245)</f>
        <v>2231.98</v>
      </c>
      <c r="D241" s="144">
        <f>SUM(D242:D245)</f>
        <v>500</v>
      </c>
      <c r="E241" s="144">
        <f>SUM(E242:E245)</f>
        <v>0</v>
      </c>
      <c r="F241" s="241"/>
      <c r="G241" s="145"/>
    </row>
    <row r="242" spans="1:7" s="221" customFormat="1" ht="13.2" x14ac:dyDescent="0.3">
      <c r="A242" s="231">
        <v>3221</v>
      </c>
      <c r="B242" s="232" t="s">
        <v>126</v>
      </c>
      <c r="C242" s="233">
        <v>906.47</v>
      </c>
      <c r="D242" s="225">
        <v>300</v>
      </c>
      <c r="E242" s="225"/>
      <c r="F242" s="248"/>
      <c r="G242" s="220"/>
    </row>
    <row r="243" spans="1:7" s="221" customFormat="1" ht="13.2" x14ac:dyDescent="0.3">
      <c r="A243" s="231">
        <v>3222</v>
      </c>
      <c r="B243" s="232" t="s">
        <v>154</v>
      </c>
      <c r="C243" s="233"/>
      <c r="D243" s="225"/>
      <c r="E243" s="225"/>
      <c r="F243" s="248"/>
      <c r="G243" s="220"/>
    </row>
    <row r="244" spans="1:7" s="221" customFormat="1" ht="13.2" x14ac:dyDescent="0.3">
      <c r="A244" s="231">
        <v>3224</v>
      </c>
      <c r="B244" s="232" t="s">
        <v>120</v>
      </c>
      <c r="C244" s="233">
        <v>144.32</v>
      </c>
      <c r="D244" s="225">
        <v>100</v>
      </c>
      <c r="E244" s="225"/>
      <c r="F244" s="248"/>
      <c r="G244" s="220"/>
    </row>
    <row r="245" spans="1:7" s="221" customFormat="1" ht="13.2" x14ac:dyDescent="0.3">
      <c r="A245" s="231">
        <v>3225</v>
      </c>
      <c r="B245" s="232" t="s">
        <v>155</v>
      </c>
      <c r="C245" s="233">
        <v>1181.19</v>
      </c>
      <c r="D245" s="225">
        <v>100</v>
      </c>
      <c r="E245" s="225"/>
      <c r="F245" s="248"/>
      <c r="G245" s="220"/>
    </row>
    <row r="246" spans="1:7" s="13" customFormat="1" ht="13.2" x14ac:dyDescent="0.3">
      <c r="A246" s="154">
        <v>323</v>
      </c>
      <c r="B246" s="155" t="s">
        <v>152</v>
      </c>
      <c r="C246" s="156">
        <f>SUM(C247:C247)</f>
        <v>0</v>
      </c>
      <c r="D246" s="144">
        <f>SUM(D247:D247)</f>
        <v>0</v>
      </c>
      <c r="E246" s="144">
        <f>SUM(E247:E247)</f>
        <v>0</v>
      </c>
      <c r="F246" s="241"/>
      <c r="G246" s="145"/>
    </row>
    <row r="247" spans="1:7" s="221" customFormat="1" ht="13.2" x14ac:dyDescent="0.3">
      <c r="A247" s="231">
        <v>3237</v>
      </c>
      <c r="B247" s="232" t="s">
        <v>132</v>
      </c>
      <c r="C247" s="233">
        <v>0</v>
      </c>
      <c r="D247" s="225">
        <v>0</v>
      </c>
      <c r="E247" s="225">
        <v>0</v>
      </c>
      <c r="F247" s="248"/>
      <c r="G247" s="220"/>
    </row>
    <row r="248" spans="1:7" s="13" customFormat="1" ht="13.2" x14ac:dyDescent="0.3">
      <c r="A248" s="154">
        <v>329</v>
      </c>
      <c r="B248" s="155" t="s">
        <v>138</v>
      </c>
      <c r="C248" s="156">
        <f>SUM(C249:C250)</f>
        <v>0</v>
      </c>
      <c r="D248" s="144">
        <f>SUM(D249:D250)</f>
        <v>0</v>
      </c>
      <c r="E248" s="144">
        <f>SUM(E249:E250)</f>
        <v>0</v>
      </c>
      <c r="F248" s="241"/>
      <c r="G248" s="145"/>
    </row>
    <row r="249" spans="1:7" s="221" customFormat="1" ht="13.2" x14ac:dyDescent="0.3">
      <c r="A249" s="231">
        <v>3294</v>
      </c>
      <c r="B249" s="232" t="s">
        <v>158</v>
      </c>
      <c r="C249" s="233"/>
      <c r="D249" s="225"/>
      <c r="E249" s="225"/>
      <c r="F249" s="248"/>
      <c r="G249" s="220"/>
    </row>
    <row r="250" spans="1:7" s="221" customFormat="1" ht="13.2" x14ac:dyDescent="0.3">
      <c r="A250" s="231">
        <v>3299</v>
      </c>
      <c r="B250" s="232" t="s">
        <v>138</v>
      </c>
      <c r="C250" s="233"/>
      <c r="D250" s="225"/>
      <c r="E250" s="225"/>
      <c r="F250" s="248"/>
      <c r="G250" s="220"/>
    </row>
    <row r="251" spans="1:7" s="13" customFormat="1" ht="13.2" x14ac:dyDescent="0.3">
      <c r="A251" s="154" t="s">
        <v>52</v>
      </c>
      <c r="B251" s="155" t="s">
        <v>22</v>
      </c>
      <c r="C251" s="156">
        <f t="shared" ref="C251:E251" si="44">C252</f>
        <v>0</v>
      </c>
      <c r="D251" s="144">
        <f t="shared" si="44"/>
        <v>100</v>
      </c>
      <c r="E251" s="144">
        <f t="shared" si="44"/>
        <v>0</v>
      </c>
      <c r="F251" s="241" t="e">
        <f t="shared" si="41"/>
        <v>#DIV/0!</v>
      </c>
      <c r="G251" s="145">
        <f t="shared" si="42"/>
        <v>0</v>
      </c>
    </row>
    <row r="252" spans="1:7" s="13" customFormat="1" ht="26.4" x14ac:dyDescent="0.3">
      <c r="A252" s="154" t="s">
        <v>53</v>
      </c>
      <c r="B252" s="155" t="s">
        <v>40</v>
      </c>
      <c r="C252" s="156">
        <f>C253+C256</f>
        <v>0</v>
      </c>
      <c r="D252" s="156">
        <f>D253+D256</f>
        <v>100</v>
      </c>
      <c r="E252" s="156">
        <f t="shared" ref="E252" si="45">E253+E256</f>
        <v>0</v>
      </c>
      <c r="F252" s="241" t="e">
        <f t="shared" si="41"/>
        <v>#DIV/0!</v>
      </c>
      <c r="G252" s="145">
        <f t="shared" si="42"/>
        <v>0</v>
      </c>
    </row>
    <row r="253" spans="1:7" s="13" customFormat="1" ht="13.2" x14ac:dyDescent="0.3">
      <c r="A253" s="154">
        <v>422</v>
      </c>
      <c r="B253" s="155" t="s">
        <v>153</v>
      </c>
      <c r="C253" s="156">
        <f>SUM(C254:C255)</f>
        <v>0</v>
      </c>
      <c r="D253" s="156">
        <f>SUM(D254:D255)</f>
        <v>100</v>
      </c>
      <c r="E253" s="156">
        <f t="shared" ref="E253" si="46">SUM(E254:E255)</f>
        <v>0</v>
      </c>
      <c r="F253" s="241"/>
      <c r="G253" s="145"/>
    </row>
    <row r="254" spans="1:7" s="221" customFormat="1" ht="13.2" x14ac:dyDescent="0.3">
      <c r="A254" s="231">
        <v>4221</v>
      </c>
      <c r="B254" s="232" t="s">
        <v>157</v>
      </c>
      <c r="C254" s="233">
        <v>0</v>
      </c>
      <c r="D254" s="225">
        <v>100</v>
      </c>
      <c r="E254" s="225">
        <v>0</v>
      </c>
      <c r="F254" s="248"/>
      <c r="G254" s="220"/>
    </row>
    <row r="255" spans="1:7" s="221" customFormat="1" ht="13.2" x14ac:dyDescent="0.3">
      <c r="A255" s="231">
        <v>4227</v>
      </c>
      <c r="B255" s="232" t="s">
        <v>145</v>
      </c>
      <c r="C255" s="233">
        <v>0</v>
      </c>
      <c r="D255" s="225">
        <v>0</v>
      </c>
      <c r="E255" s="225">
        <v>0</v>
      </c>
      <c r="F255" s="248"/>
      <c r="G255" s="220"/>
    </row>
    <row r="256" spans="1:7" s="13" customFormat="1" ht="26.4" x14ac:dyDescent="0.3">
      <c r="A256" s="154">
        <v>424</v>
      </c>
      <c r="B256" s="155" t="s">
        <v>170</v>
      </c>
      <c r="C256" s="156">
        <f>C257</f>
        <v>0</v>
      </c>
      <c r="D256" s="144">
        <f>D257</f>
        <v>0</v>
      </c>
      <c r="E256" s="144">
        <f>E257</f>
        <v>0</v>
      </c>
      <c r="F256" s="241"/>
      <c r="G256" s="145"/>
    </row>
    <row r="257" spans="1:7" s="221" customFormat="1" ht="13.2" x14ac:dyDescent="0.3">
      <c r="A257" s="231">
        <v>4241</v>
      </c>
      <c r="B257" s="232" t="s">
        <v>144</v>
      </c>
      <c r="C257" s="233">
        <v>0</v>
      </c>
      <c r="D257" s="225">
        <v>0</v>
      </c>
      <c r="E257" s="225">
        <v>0</v>
      </c>
      <c r="F257" s="248"/>
      <c r="G257" s="220"/>
    </row>
    <row r="258" spans="1:7" s="141" customFormat="1" ht="13.2" x14ac:dyDescent="0.3">
      <c r="A258" s="151" t="s">
        <v>66</v>
      </c>
      <c r="B258" s="152" t="s">
        <v>67</v>
      </c>
      <c r="C258" s="153">
        <f t="shared" ref="C258:E259" si="47">C259</f>
        <v>0</v>
      </c>
      <c r="D258" s="149">
        <f t="shared" si="47"/>
        <v>0</v>
      </c>
      <c r="E258" s="149">
        <f t="shared" si="47"/>
        <v>0</v>
      </c>
      <c r="F258" s="250" t="e">
        <f t="shared" si="41"/>
        <v>#DIV/0!</v>
      </c>
      <c r="G258" s="150" t="e">
        <f t="shared" si="42"/>
        <v>#DIV/0!</v>
      </c>
    </row>
    <row r="259" spans="1:7" s="13" customFormat="1" ht="13.2" x14ac:dyDescent="0.3">
      <c r="A259" s="154" t="s">
        <v>52</v>
      </c>
      <c r="B259" s="155" t="s">
        <v>22</v>
      </c>
      <c r="C259" s="156">
        <f t="shared" si="47"/>
        <v>0</v>
      </c>
      <c r="D259" s="144">
        <f t="shared" si="47"/>
        <v>0</v>
      </c>
      <c r="E259" s="144">
        <f t="shared" si="47"/>
        <v>0</v>
      </c>
      <c r="F259" s="241" t="e">
        <f t="shared" si="41"/>
        <v>#DIV/0!</v>
      </c>
      <c r="G259" s="145" t="e">
        <f t="shared" si="42"/>
        <v>#DIV/0!</v>
      </c>
    </row>
    <row r="260" spans="1:7" s="13" customFormat="1" ht="26.4" x14ac:dyDescent="0.3">
      <c r="A260" s="154" t="s">
        <v>53</v>
      </c>
      <c r="B260" s="155" t="s">
        <v>40</v>
      </c>
      <c r="C260" s="156">
        <f>C261</f>
        <v>0</v>
      </c>
      <c r="D260" s="144">
        <f>D261</f>
        <v>0</v>
      </c>
      <c r="E260" s="144">
        <f>E261</f>
        <v>0</v>
      </c>
      <c r="F260" s="241" t="e">
        <f t="shared" si="41"/>
        <v>#DIV/0!</v>
      </c>
      <c r="G260" s="145" t="e">
        <f t="shared" si="42"/>
        <v>#DIV/0!</v>
      </c>
    </row>
    <row r="261" spans="1:7" s="13" customFormat="1" ht="13.2" x14ac:dyDescent="0.3">
      <c r="A261" s="154">
        <v>422</v>
      </c>
      <c r="B261" s="155" t="s">
        <v>153</v>
      </c>
      <c r="C261" s="156">
        <f>C262+C263</f>
        <v>0</v>
      </c>
      <c r="D261" s="144">
        <f>D262+D263</f>
        <v>0</v>
      </c>
      <c r="E261" s="144">
        <f>E262+E263</f>
        <v>0</v>
      </c>
      <c r="F261" s="241"/>
      <c r="G261" s="145"/>
    </row>
    <row r="262" spans="1:7" s="221" customFormat="1" ht="13.2" x14ac:dyDescent="0.3">
      <c r="A262" s="231">
        <v>4221</v>
      </c>
      <c r="B262" s="232" t="s">
        <v>157</v>
      </c>
      <c r="C262" s="233">
        <v>0</v>
      </c>
      <c r="D262" s="225"/>
      <c r="E262" s="225">
        <v>0</v>
      </c>
      <c r="F262" s="248"/>
      <c r="G262" s="220"/>
    </row>
    <row r="263" spans="1:7" s="221" customFormat="1" ht="13.2" x14ac:dyDescent="0.3">
      <c r="A263" s="231">
        <v>4227</v>
      </c>
      <c r="B263" s="232" t="s">
        <v>145</v>
      </c>
      <c r="C263" s="233">
        <v>0</v>
      </c>
      <c r="D263" s="225"/>
      <c r="E263" s="225">
        <v>0</v>
      </c>
      <c r="F263" s="248"/>
      <c r="G263" s="220"/>
    </row>
    <row r="264" spans="1:7" s="141" customFormat="1" ht="13.2" x14ac:dyDescent="0.3">
      <c r="A264" s="151" t="s">
        <v>43</v>
      </c>
      <c r="B264" s="152" t="s">
        <v>44</v>
      </c>
      <c r="C264" s="153">
        <f>C265+C269</f>
        <v>412</v>
      </c>
      <c r="D264" s="149">
        <f>D265+D269</f>
        <v>500</v>
      </c>
      <c r="E264" s="149">
        <f>E265+E269</f>
        <v>0</v>
      </c>
      <c r="F264" s="250">
        <f t="shared" si="41"/>
        <v>0</v>
      </c>
      <c r="G264" s="150">
        <f t="shared" si="42"/>
        <v>0</v>
      </c>
    </row>
    <row r="265" spans="1:7" s="13" customFormat="1" ht="13.2" x14ac:dyDescent="0.3">
      <c r="A265" s="154" t="s">
        <v>49</v>
      </c>
      <c r="B265" s="155" t="s">
        <v>20</v>
      </c>
      <c r="C265" s="156">
        <f t="shared" ref="C265:E266" si="48">C266</f>
        <v>412</v>
      </c>
      <c r="D265" s="144">
        <f t="shared" si="48"/>
        <v>500</v>
      </c>
      <c r="E265" s="144">
        <f t="shared" si="48"/>
        <v>0</v>
      </c>
      <c r="F265" s="241">
        <f t="shared" si="41"/>
        <v>0</v>
      </c>
      <c r="G265" s="145">
        <f t="shared" si="42"/>
        <v>0</v>
      </c>
    </row>
    <row r="266" spans="1:7" s="13" customFormat="1" ht="13.2" x14ac:dyDescent="0.3">
      <c r="A266" s="154" t="s">
        <v>50</v>
      </c>
      <c r="B266" s="155" t="s">
        <v>33</v>
      </c>
      <c r="C266" s="156">
        <f t="shared" si="48"/>
        <v>412</v>
      </c>
      <c r="D266" s="144">
        <f t="shared" si="48"/>
        <v>500</v>
      </c>
      <c r="E266" s="144">
        <f t="shared" si="48"/>
        <v>0</v>
      </c>
      <c r="F266" s="241">
        <f t="shared" si="41"/>
        <v>0</v>
      </c>
      <c r="G266" s="145">
        <f t="shared" si="42"/>
        <v>0</v>
      </c>
    </row>
    <row r="267" spans="1:7" s="13" customFormat="1" ht="13.2" x14ac:dyDescent="0.3">
      <c r="A267" s="154">
        <v>9</v>
      </c>
      <c r="B267" s="155" t="s">
        <v>152</v>
      </c>
      <c r="C267" s="156">
        <f>SUM(C268:C268)</f>
        <v>412</v>
      </c>
      <c r="D267" s="144">
        <f>SUM(D268:D268)</f>
        <v>500</v>
      </c>
      <c r="E267" s="144">
        <f>SUM(E268:E268)</f>
        <v>0</v>
      </c>
      <c r="F267" s="241"/>
      <c r="G267" s="145"/>
    </row>
    <row r="268" spans="1:7" s="221" customFormat="1" ht="13.2" x14ac:dyDescent="0.3">
      <c r="A268" s="231">
        <v>3299</v>
      </c>
      <c r="B268" s="232" t="s">
        <v>138</v>
      </c>
      <c r="C268" s="233">
        <v>412</v>
      </c>
      <c r="D268" s="225">
        <v>500</v>
      </c>
      <c r="E268" s="225"/>
      <c r="F268" s="248"/>
      <c r="G268" s="220"/>
    </row>
    <row r="269" spans="1:7" s="13" customFormat="1" ht="13.2" x14ac:dyDescent="0.3">
      <c r="A269" s="154" t="s">
        <v>52</v>
      </c>
      <c r="B269" s="155" t="s">
        <v>22</v>
      </c>
      <c r="C269" s="156">
        <f t="shared" ref="C269:E271" si="49">C270</f>
        <v>0</v>
      </c>
      <c r="D269" s="144">
        <f t="shared" si="49"/>
        <v>0</v>
      </c>
      <c r="E269" s="144">
        <f t="shared" si="49"/>
        <v>0</v>
      </c>
      <c r="F269" s="241" t="e">
        <f t="shared" si="41"/>
        <v>#DIV/0!</v>
      </c>
      <c r="G269" s="145" t="e">
        <f t="shared" si="42"/>
        <v>#DIV/0!</v>
      </c>
    </row>
    <row r="270" spans="1:7" s="13" customFormat="1" ht="26.4" x14ac:dyDescent="0.3">
      <c r="A270" s="154" t="s">
        <v>53</v>
      </c>
      <c r="B270" s="155" t="s">
        <v>40</v>
      </c>
      <c r="C270" s="156">
        <f t="shared" si="49"/>
        <v>0</v>
      </c>
      <c r="D270" s="144">
        <f t="shared" si="49"/>
        <v>0</v>
      </c>
      <c r="E270" s="144">
        <f t="shared" si="49"/>
        <v>0</v>
      </c>
      <c r="F270" s="241" t="e">
        <f t="shared" si="41"/>
        <v>#DIV/0!</v>
      </c>
      <c r="G270" s="145" t="e">
        <f t="shared" si="42"/>
        <v>#DIV/0!</v>
      </c>
    </row>
    <row r="271" spans="1:7" s="13" customFormat="1" ht="13.2" x14ac:dyDescent="0.3">
      <c r="A271" s="154">
        <v>422</v>
      </c>
      <c r="B271" s="155" t="s">
        <v>153</v>
      </c>
      <c r="C271" s="156">
        <f t="shared" si="49"/>
        <v>0</v>
      </c>
      <c r="D271" s="144">
        <f>D272</f>
        <v>0</v>
      </c>
      <c r="E271" s="144">
        <f t="shared" si="49"/>
        <v>0</v>
      </c>
      <c r="F271" s="241"/>
      <c r="G271" s="145"/>
    </row>
    <row r="272" spans="1:7" s="221" customFormat="1" ht="13.8" thickBot="1" x14ac:dyDescent="0.35">
      <c r="A272" s="234">
        <v>4221</v>
      </c>
      <c r="B272" s="235" t="s">
        <v>157</v>
      </c>
      <c r="C272" s="236">
        <v>0</v>
      </c>
      <c r="D272" s="219"/>
      <c r="E272" s="219">
        <v>0</v>
      </c>
      <c r="F272" s="246"/>
      <c r="G272" s="237"/>
    </row>
    <row r="273" spans="1:7" s="13" customFormat="1" ht="27" thickBot="1" x14ac:dyDescent="0.35">
      <c r="A273" s="534" t="s">
        <v>77</v>
      </c>
      <c r="B273" s="535" t="s">
        <v>78</v>
      </c>
      <c r="C273" s="536">
        <f>C274+C286+C299</f>
        <v>56887.039999999994</v>
      </c>
      <c r="D273" s="537">
        <f>D274+D286+D299</f>
        <v>65600</v>
      </c>
      <c r="E273" s="537">
        <f>E274+E286+E299</f>
        <v>28391.329999999998</v>
      </c>
      <c r="F273" s="538">
        <f t="shared" si="41"/>
        <v>49.908256783970486</v>
      </c>
      <c r="G273" s="539">
        <f t="shared" si="42"/>
        <v>43.279466463414629</v>
      </c>
    </row>
    <row r="274" spans="1:7" s="141" customFormat="1" ht="13.2" x14ac:dyDescent="0.3">
      <c r="A274" s="163" t="s">
        <v>47</v>
      </c>
      <c r="B274" s="164" t="s">
        <v>48</v>
      </c>
      <c r="C274" s="165">
        <f>C275</f>
        <v>25044.729999999996</v>
      </c>
      <c r="D274" s="139">
        <f>D275</f>
        <v>28300</v>
      </c>
      <c r="E274" s="139">
        <f>E275</f>
        <v>12274.609999999999</v>
      </c>
      <c r="F274" s="542">
        <f t="shared" si="41"/>
        <v>49.010749966160546</v>
      </c>
      <c r="G274" s="140">
        <f t="shared" si="42"/>
        <v>43.373180212014127</v>
      </c>
    </row>
    <row r="275" spans="1:7" s="13" customFormat="1" ht="13.2" x14ac:dyDescent="0.3">
      <c r="A275" s="154" t="s">
        <v>49</v>
      </c>
      <c r="B275" s="155" t="s">
        <v>20</v>
      </c>
      <c r="C275" s="156">
        <f>C276+C283</f>
        <v>25044.729999999996</v>
      </c>
      <c r="D275" s="144">
        <f>D276+D283</f>
        <v>28300</v>
      </c>
      <c r="E275" s="144">
        <f>E276+E283</f>
        <v>12274.609999999999</v>
      </c>
      <c r="F275" s="162">
        <f t="shared" si="41"/>
        <v>49.010749966160546</v>
      </c>
      <c r="G275" s="145">
        <f t="shared" si="42"/>
        <v>43.373180212014127</v>
      </c>
    </row>
    <row r="276" spans="1:7" s="13" customFormat="1" ht="13.2" x14ac:dyDescent="0.3">
      <c r="A276" s="154" t="s">
        <v>61</v>
      </c>
      <c r="B276" s="155" t="s">
        <v>21</v>
      </c>
      <c r="C276" s="156">
        <f>C277+C279+C281</f>
        <v>23808.399999999998</v>
      </c>
      <c r="D276" s="144">
        <f>D277+D279+D281</f>
        <v>26800</v>
      </c>
      <c r="E276" s="144">
        <f>E277+E279+E281</f>
        <v>11601.39</v>
      </c>
      <c r="F276" s="162">
        <f t="shared" si="41"/>
        <v>48.728137968112094</v>
      </c>
      <c r="G276" s="145">
        <f t="shared" si="42"/>
        <v>43.288768656716414</v>
      </c>
    </row>
    <row r="277" spans="1:7" s="13" customFormat="1" ht="13.2" x14ac:dyDescent="0.3">
      <c r="A277" s="154">
        <v>311</v>
      </c>
      <c r="B277" s="155" t="s">
        <v>161</v>
      </c>
      <c r="C277" s="156">
        <f>SUM(C278:C278)</f>
        <v>19835.53</v>
      </c>
      <c r="D277" s="144">
        <f>SUM(D278:D278)</f>
        <v>22000</v>
      </c>
      <c r="E277" s="144">
        <f>SUM(E278:E278)</f>
        <v>9614.92</v>
      </c>
      <c r="F277" s="162"/>
      <c r="G277" s="145"/>
    </row>
    <row r="278" spans="1:7" s="221" customFormat="1" ht="13.2" x14ac:dyDescent="0.3">
      <c r="A278" s="231">
        <v>3111</v>
      </c>
      <c r="B278" s="232" t="s">
        <v>162</v>
      </c>
      <c r="C278" s="233">
        <v>19835.53</v>
      </c>
      <c r="D278" s="225">
        <v>22000</v>
      </c>
      <c r="E278" s="225">
        <v>9614.92</v>
      </c>
      <c r="F278" s="541"/>
      <c r="G278" s="220"/>
    </row>
    <row r="279" spans="1:7" s="13" customFormat="1" ht="13.2" x14ac:dyDescent="0.3">
      <c r="A279" s="154">
        <v>312</v>
      </c>
      <c r="B279" s="155" t="s">
        <v>146</v>
      </c>
      <c r="C279" s="156">
        <f>C280</f>
        <v>700</v>
      </c>
      <c r="D279" s="144">
        <f>D280</f>
        <v>800</v>
      </c>
      <c r="E279" s="144">
        <f>E280</f>
        <v>400</v>
      </c>
      <c r="F279" s="162"/>
      <c r="G279" s="145"/>
    </row>
    <row r="280" spans="1:7" s="221" customFormat="1" ht="13.2" x14ac:dyDescent="0.3">
      <c r="A280" s="231">
        <v>3121</v>
      </c>
      <c r="B280" s="232" t="s">
        <v>146</v>
      </c>
      <c r="C280" s="233">
        <v>700</v>
      </c>
      <c r="D280" s="225">
        <v>800</v>
      </c>
      <c r="E280" s="225">
        <v>400</v>
      </c>
      <c r="F280" s="541"/>
      <c r="G280" s="220"/>
    </row>
    <row r="281" spans="1:7" s="13" customFormat="1" ht="13.2" x14ac:dyDescent="0.3">
      <c r="A281" s="154">
        <v>313</v>
      </c>
      <c r="B281" s="155" t="s">
        <v>165</v>
      </c>
      <c r="C281" s="156">
        <f>C282</f>
        <v>3272.87</v>
      </c>
      <c r="D281" s="144">
        <f>D282</f>
        <v>4000</v>
      </c>
      <c r="E281" s="144">
        <f>E282</f>
        <v>1586.47</v>
      </c>
      <c r="F281" s="162"/>
      <c r="G281" s="145"/>
    </row>
    <row r="282" spans="1:7" s="221" customFormat="1" ht="13.2" x14ac:dyDescent="0.3">
      <c r="A282" s="231">
        <v>3132</v>
      </c>
      <c r="B282" s="232" t="s">
        <v>166</v>
      </c>
      <c r="C282" s="233">
        <v>3272.87</v>
      </c>
      <c r="D282" s="225">
        <v>4000</v>
      </c>
      <c r="E282" s="225">
        <v>1586.47</v>
      </c>
      <c r="F282" s="541"/>
      <c r="G282" s="220"/>
    </row>
    <row r="283" spans="1:7" s="13" customFormat="1" ht="13.2" x14ac:dyDescent="0.3">
      <c r="A283" s="154" t="s">
        <v>50</v>
      </c>
      <c r="B283" s="155" t="s">
        <v>33</v>
      </c>
      <c r="C283" s="156">
        <f t="shared" ref="C283:E284" si="50">C284</f>
        <v>1236.33</v>
      </c>
      <c r="D283" s="144">
        <f t="shared" si="50"/>
        <v>1500</v>
      </c>
      <c r="E283" s="144">
        <f t="shared" si="50"/>
        <v>673.22</v>
      </c>
      <c r="F283" s="162">
        <f t="shared" ref="F283:F367" si="51">E283/C283*100</f>
        <v>54.453099091666466</v>
      </c>
      <c r="G283" s="145">
        <f t="shared" ref="G283:G367" si="52">E283/D283*100</f>
        <v>44.881333333333338</v>
      </c>
    </row>
    <row r="284" spans="1:7" s="13" customFormat="1" ht="13.2" x14ac:dyDescent="0.3">
      <c r="A284" s="154">
        <v>321</v>
      </c>
      <c r="B284" s="155" t="s">
        <v>150</v>
      </c>
      <c r="C284" s="156">
        <f t="shared" si="50"/>
        <v>1236.33</v>
      </c>
      <c r="D284" s="144">
        <f t="shared" si="50"/>
        <v>1500</v>
      </c>
      <c r="E284" s="144">
        <f t="shared" si="50"/>
        <v>673.22</v>
      </c>
      <c r="F284" s="162"/>
      <c r="G284" s="145"/>
    </row>
    <row r="285" spans="1:7" s="221" customFormat="1" ht="13.2" x14ac:dyDescent="0.3">
      <c r="A285" s="231">
        <v>3212</v>
      </c>
      <c r="B285" s="232" t="s">
        <v>167</v>
      </c>
      <c r="C285" s="233">
        <v>1236.33</v>
      </c>
      <c r="D285" s="225">
        <v>1500</v>
      </c>
      <c r="E285" s="225">
        <v>673.22</v>
      </c>
      <c r="F285" s="541"/>
      <c r="G285" s="220"/>
    </row>
    <row r="286" spans="1:7" s="141" customFormat="1" ht="13.2" x14ac:dyDescent="0.3">
      <c r="A286" s="151" t="s">
        <v>43</v>
      </c>
      <c r="B286" s="152" t="s">
        <v>44</v>
      </c>
      <c r="C286" s="153">
        <f t="shared" ref="C286:E286" si="53">C287+C293</f>
        <v>7111.39</v>
      </c>
      <c r="D286" s="153">
        <f t="shared" ref="D286" si="54">D287+D293</f>
        <v>9000</v>
      </c>
      <c r="E286" s="153">
        <f t="shared" si="53"/>
        <v>3842.13</v>
      </c>
      <c r="F286" s="540">
        <f t="shared" si="51"/>
        <v>54.027834220876649</v>
      </c>
      <c r="G286" s="150">
        <f t="shared" si="52"/>
        <v>42.690333333333335</v>
      </c>
    </row>
    <row r="287" spans="1:7" s="13" customFormat="1" ht="13.2" x14ac:dyDescent="0.3">
      <c r="A287" s="154" t="s">
        <v>49</v>
      </c>
      <c r="B287" s="155" t="s">
        <v>20</v>
      </c>
      <c r="C287" s="156">
        <f t="shared" ref="C287:E287" si="55">C288</f>
        <v>7111.39</v>
      </c>
      <c r="D287" s="144">
        <f t="shared" si="55"/>
        <v>8000</v>
      </c>
      <c r="E287" s="144">
        <f t="shared" si="55"/>
        <v>2754.63</v>
      </c>
      <c r="F287" s="162">
        <f t="shared" si="51"/>
        <v>38.735465218473465</v>
      </c>
      <c r="G287" s="145">
        <f t="shared" si="52"/>
        <v>34.432875000000003</v>
      </c>
    </row>
    <row r="288" spans="1:7" s="13" customFormat="1" ht="13.2" x14ac:dyDescent="0.3">
      <c r="A288" s="154" t="s">
        <v>50</v>
      </c>
      <c r="B288" s="155" t="s">
        <v>33</v>
      </c>
      <c r="C288" s="156">
        <f>C289</f>
        <v>7111.39</v>
      </c>
      <c r="D288" s="144">
        <f>D289</f>
        <v>8000</v>
      </c>
      <c r="E288" s="144">
        <f>E289</f>
        <v>2754.63</v>
      </c>
      <c r="F288" s="162">
        <f t="shared" si="51"/>
        <v>38.735465218473465</v>
      </c>
      <c r="G288" s="145">
        <f t="shared" si="52"/>
        <v>34.432875000000003</v>
      </c>
    </row>
    <row r="289" spans="1:7" s="13" customFormat="1" ht="13.2" x14ac:dyDescent="0.3">
      <c r="A289" s="142">
        <v>322</v>
      </c>
      <c r="B289" s="143" t="s">
        <v>151</v>
      </c>
      <c r="C289" s="60">
        <f>C290+C291+C292</f>
        <v>7111.39</v>
      </c>
      <c r="D289" s="60">
        <f>D290+D291+D292</f>
        <v>8000</v>
      </c>
      <c r="E289" s="60">
        <f t="shared" ref="E289" si="56">E290+E291+E292</f>
        <v>2754.63</v>
      </c>
      <c r="F289" s="162"/>
      <c r="G289" s="145"/>
    </row>
    <row r="290" spans="1:7" s="221" customFormat="1" ht="13.2" x14ac:dyDescent="0.3">
      <c r="A290" s="222">
        <v>3221</v>
      </c>
      <c r="B290" s="223" t="s">
        <v>126</v>
      </c>
      <c r="C290" s="224">
        <v>333.22</v>
      </c>
      <c r="D290" s="225">
        <v>500</v>
      </c>
      <c r="E290" s="225"/>
      <c r="F290" s="541"/>
      <c r="G290" s="220"/>
    </row>
    <row r="291" spans="1:7" s="221" customFormat="1" ht="13.2" x14ac:dyDescent="0.3">
      <c r="A291" s="222">
        <v>3222</v>
      </c>
      <c r="B291" s="223" t="s">
        <v>154</v>
      </c>
      <c r="C291" s="224">
        <v>6778.17</v>
      </c>
      <c r="D291" s="225">
        <v>7000</v>
      </c>
      <c r="E291" s="225">
        <v>2754.63</v>
      </c>
      <c r="F291" s="541"/>
      <c r="G291" s="220"/>
    </row>
    <row r="292" spans="1:7" s="221" customFormat="1" ht="13.2" x14ac:dyDescent="0.3">
      <c r="A292" s="222">
        <v>3225</v>
      </c>
      <c r="B292" s="223" t="s">
        <v>155</v>
      </c>
      <c r="C292" s="224">
        <v>0</v>
      </c>
      <c r="D292" s="225">
        <v>500</v>
      </c>
      <c r="E292" s="225"/>
      <c r="F292" s="541"/>
      <c r="G292" s="220"/>
    </row>
    <row r="293" spans="1:7" s="13" customFormat="1" ht="13.2" x14ac:dyDescent="0.3">
      <c r="A293" s="154" t="s">
        <v>52</v>
      </c>
      <c r="B293" s="155" t="s">
        <v>22</v>
      </c>
      <c r="C293" s="156">
        <f t="shared" ref="C293:E294" si="57">C294</f>
        <v>0</v>
      </c>
      <c r="D293" s="144">
        <f t="shared" si="57"/>
        <v>1000</v>
      </c>
      <c r="E293" s="144">
        <f t="shared" si="57"/>
        <v>1087.5</v>
      </c>
      <c r="F293" s="162" t="e">
        <f t="shared" ref="F293:F294" si="58">E293/C293*100</f>
        <v>#DIV/0!</v>
      </c>
      <c r="G293" s="145">
        <f t="shared" ref="G293:G294" si="59">E293/D293*100</f>
        <v>108.74999999999999</v>
      </c>
    </row>
    <row r="294" spans="1:7" s="13" customFormat="1" ht="26.4" x14ac:dyDescent="0.3">
      <c r="A294" s="154" t="s">
        <v>53</v>
      </c>
      <c r="B294" s="155" t="s">
        <v>40</v>
      </c>
      <c r="C294" s="156">
        <f t="shared" si="57"/>
        <v>0</v>
      </c>
      <c r="D294" s="144">
        <f t="shared" si="57"/>
        <v>1000</v>
      </c>
      <c r="E294" s="144">
        <f t="shared" si="57"/>
        <v>1087.5</v>
      </c>
      <c r="F294" s="162" t="e">
        <f t="shared" si="58"/>
        <v>#DIV/0!</v>
      </c>
      <c r="G294" s="145">
        <f t="shared" si="59"/>
        <v>108.74999999999999</v>
      </c>
    </row>
    <row r="295" spans="1:7" s="13" customFormat="1" ht="13.2" x14ac:dyDescent="0.3">
      <c r="A295" s="154">
        <v>422</v>
      </c>
      <c r="B295" s="155" t="s">
        <v>153</v>
      </c>
      <c r="C295" s="156">
        <f>C296+C297+C298</f>
        <v>0</v>
      </c>
      <c r="D295" s="144">
        <f>D296+D297+D298</f>
        <v>1000</v>
      </c>
      <c r="E295" s="144">
        <f t="shared" ref="E295" si="60">E296+E297+E298</f>
        <v>1087.5</v>
      </c>
      <c r="F295" s="162"/>
      <c r="G295" s="145"/>
    </row>
    <row r="296" spans="1:7" s="221" customFormat="1" ht="13.2" x14ac:dyDescent="0.3">
      <c r="A296" s="231">
        <v>4221</v>
      </c>
      <c r="B296" s="232" t="s">
        <v>157</v>
      </c>
      <c r="C296" s="233">
        <v>0</v>
      </c>
      <c r="D296" s="225"/>
      <c r="E296" s="225"/>
      <c r="F296" s="541"/>
      <c r="G296" s="220"/>
    </row>
    <row r="297" spans="1:7" s="221" customFormat="1" ht="13.2" x14ac:dyDescent="0.3">
      <c r="A297" s="231">
        <v>4226</v>
      </c>
      <c r="B297" s="232" t="s">
        <v>143</v>
      </c>
      <c r="C297" s="233">
        <v>0</v>
      </c>
      <c r="D297" s="225"/>
      <c r="E297" s="225"/>
      <c r="F297" s="541"/>
      <c r="G297" s="220"/>
    </row>
    <row r="298" spans="1:7" s="221" customFormat="1" ht="13.8" thickBot="1" x14ac:dyDescent="0.35">
      <c r="A298" s="234">
        <v>4227</v>
      </c>
      <c r="B298" s="232" t="s">
        <v>145</v>
      </c>
      <c r="C298" s="236">
        <v>0</v>
      </c>
      <c r="D298" s="219">
        <v>1000</v>
      </c>
      <c r="E298" s="219">
        <v>1087.5</v>
      </c>
      <c r="F298" s="543"/>
      <c r="G298" s="237"/>
    </row>
    <row r="299" spans="1:7" s="141" customFormat="1" ht="26.4" x14ac:dyDescent="0.3">
      <c r="A299" s="157" t="s">
        <v>323</v>
      </c>
      <c r="B299" s="158" t="s">
        <v>51</v>
      </c>
      <c r="C299" s="159">
        <f>C300</f>
        <v>24730.920000000002</v>
      </c>
      <c r="D299" s="160">
        <f>D300</f>
        <v>28300</v>
      </c>
      <c r="E299" s="160">
        <f>E300</f>
        <v>12274.59</v>
      </c>
      <c r="F299" s="252">
        <f t="shared" si="51"/>
        <v>49.632565226040917</v>
      </c>
      <c r="G299" s="161">
        <f t="shared" si="52"/>
        <v>43.373109540636044</v>
      </c>
    </row>
    <row r="300" spans="1:7" s="13" customFormat="1" ht="13.2" x14ac:dyDescent="0.3">
      <c r="A300" s="154" t="s">
        <v>49</v>
      </c>
      <c r="B300" s="155" t="s">
        <v>20</v>
      </c>
      <c r="C300" s="156">
        <f>C301+C308</f>
        <v>24730.920000000002</v>
      </c>
      <c r="D300" s="144">
        <f>D301+D308</f>
        <v>28300</v>
      </c>
      <c r="E300" s="144">
        <f>E301+E308</f>
        <v>12274.59</v>
      </c>
      <c r="F300" s="241">
        <f t="shared" si="51"/>
        <v>49.632565226040917</v>
      </c>
      <c r="G300" s="145">
        <f t="shared" si="52"/>
        <v>43.373109540636044</v>
      </c>
    </row>
    <row r="301" spans="1:7" s="13" customFormat="1" ht="13.2" x14ac:dyDescent="0.3">
      <c r="A301" s="154" t="s">
        <v>61</v>
      </c>
      <c r="B301" s="155" t="s">
        <v>21</v>
      </c>
      <c r="C301" s="156">
        <f>C302+C304+C306</f>
        <v>23494.58</v>
      </c>
      <c r="D301" s="144">
        <f>D302+D304+D306</f>
        <v>26800</v>
      </c>
      <c r="E301" s="144">
        <f>E302+E304+E306</f>
        <v>11601.36</v>
      </c>
      <c r="F301" s="241">
        <f t="shared" si="51"/>
        <v>49.378878022079988</v>
      </c>
      <c r="G301" s="145">
        <f t="shared" si="52"/>
        <v>43.288656716417911</v>
      </c>
    </row>
    <row r="302" spans="1:7" s="13" customFormat="1" ht="13.2" x14ac:dyDescent="0.3">
      <c r="A302" s="154">
        <v>311</v>
      </c>
      <c r="B302" s="155" t="s">
        <v>161</v>
      </c>
      <c r="C302" s="156">
        <f>SUM(C303:C303)</f>
        <v>19835.07</v>
      </c>
      <c r="D302" s="144">
        <f>SUM(D303:D303)</f>
        <v>22000</v>
      </c>
      <c r="E302" s="144">
        <f>SUM(E303:E303)</f>
        <v>9614.9</v>
      </c>
      <c r="F302" s="241"/>
      <c r="G302" s="145"/>
    </row>
    <row r="303" spans="1:7" s="221" customFormat="1" ht="13.2" x14ac:dyDescent="0.3">
      <c r="A303" s="231">
        <v>3111</v>
      </c>
      <c r="B303" s="232" t="s">
        <v>162</v>
      </c>
      <c r="C303" s="233">
        <v>19835.07</v>
      </c>
      <c r="D303" s="225">
        <v>22000</v>
      </c>
      <c r="E303" s="225">
        <v>9614.9</v>
      </c>
      <c r="F303" s="248"/>
      <c r="G303" s="220"/>
    </row>
    <row r="304" spans="1:7" s="13" customFormat="1" ht="13.2" x14ac:dyDescent="0.3">
      <c r="A304" s="154">
        <v>312</v>
      </c>
      <c r="B304" s="155" t="s">
        <v>146</v>
      </c>
      <c r="C304" s="156">
        <f>C305</f>
        <v>700</v>
      </c>
      <c r="D304" s="144">
        <f>D305</f>
        <v>800</v>
      </c>
      <c r="E304" s="144">
        <f>E305</f>
        <v>400</v>
      </c>
      <c r="F304" s="241"/>
      <c r="G304" s="145"/>
    </row>
    <row r="305" spans="1:7" s="221" customFormat="1" ht="13.2" x14ac:dyDescent="0.3">
      <c r="A305" s="231">
        <v>3121</v>
      </c>
      <c r="B305" s="232" t="s">
        <v>146</v>
      </c>
      <c r="C305" s="233">
        <v>700</v>
      </c>
      <c r="D305" s="225">
        <v>800</v>
      </c>
      <c r="E305" s="225">
        <v>400</v>
      </c>
      <c r="F305" s="248"/>
      <c r="G305" s="220"/>
    </row>
    <row r="306" spans="1:7" s="13" customFormat="1" ht="13.2" x14ac:dyDescent="0.3">
      <c r="A306" s="154">
        <v>313</v>
      </c>
      <c r="B306" s="155" t="s">
        <v>165</v>
      </c>
      <c r="C306" s="156">
        <f>C307</f>
        <v>2959.51</v>
      </c>
      <c r="D306" s="144">
        <f>D307</f>
        <v>4000</v>
      </c>
      <c r="E306" s="144">
        <f>E307</f>
        <v>1586.46</v>
      </c>
      <c r="F306" s="241"/>
      <c r="G306" s="145"/>
    </row>
    <row r="307" spans="1:7" s="221" customFormat="1" ht="13.2" x14ac:dyDescent="0.3">
      <c r="A307" s="231">
        <v>3132</v>
      </c>
      <c r="B307" s="232" t="s">
        <v>166</v>
      </c>
      <c r="C307" s="233">
        <v>2959.51</v>
      </c>
      <c r="D307" s="225">
        <v>4000</v>
      </c>
      <c r="E307" s="225">
        <v>1586.46</v>
      </c>
      <c r="F307" s="248"/>
      <c r="G307" s="220"/>
    </row>
    <row r="308" spans="1:7" s="13" customFormat="1" ht="13.2" x14ac:dyDescent="0.3">
      <c r="A308" s="154" t="s">
        <v>50</v>
      </c>
      <c r="B308" s="155" t="s">
        <v>33</v>
      </c>
      <c r="C308" s="156">
        <f t="shared" ref="C308:E309" si="61">C309</f>
        <v>1236.3399999999999</v>
      </c>
      <c r="D308" s="144">
        <f t="shared" si="61"/>
        <v>1500</v>
      </c>
      <c r="E308" s="144">
        <f t="shared" si="61"/>
        <v>673.23</v>
      </c>
      <c r="F308" s="241">
        <f t="shared" si="51"/>
        <v>54.4534674927609</v>
      </c>
      <c r="G308" s="145">
        <f t="shared" si="52"/>
        <v>44.881999999999998</v>
      </c>
    </row>
    <row r="309" spans="1:7" s="13" customFormat="1" ht="13.2" x14ac:dyDescent="0.3">
      <c r="A309" s="154">
        <v>321</v>
      </c>
      <c r="B309" s="155" t="s">
        <v>150</v>
      </c>
      <c r="C309" s="156">
        <f t="shared" si="61"/>
        <v>1236.3399999999999</v>
      </c>
      <c r="D309" s="144">
        <f>D310</f>
        <v>1500</v>
      </c>
      <c r="E309" s="144">
        <f t="shared" si="61"/>
        <v>673.23</v>
      </c>
      <c r="F309" s="241"/>
      <c r="G309" s="145"/>
    </row>
    <row r="310" spans="1:7" s="221" customFormat="1" ht="13.8" thickBot="1" x14ac:dyDescent="0.35">
      <c r="A310" s="231">
        <v>3212</v>
      </c>
      <c r="B310" s="232" t="s">
        <v>167</v>
      </c>
      <c r="C310" s="233">
        <v>1236.3399999999999</v>
      </c>
      <c r="D310" s="225">
        <v>1500</v>
      </c>
      <c r="E310" s="225">
        <v>673.23</v>
      </c>
      <c r="F310" s="248"/>
      <c r="G310" s="220"/>
    </row>
    <row r="311" spans="1:7" s="13" customFormat="1" ht="27" thickBot="1" x14ac:dyDescent="0.35">
      <c r="A311" s="98" t="s">
        <v>79</v>
      </c>
      <c r="B311" s="19" t="s">
        <v>80</v>
      </c>
      <c r="C311" s="68">
        <f>C322+C312</f>
        <v>14984.23</v>
      </c>
      <c r="D311" s="68">
        <f>D322+D312</f>
        <v>105100</v>
      </c>
      <c r="E311" s="68">
        <f t="shared" ref="E311" si="62">E322+E312</f>
        <v>4512.5599999999995</v>
      </c>
      <c r="F311" s="254">
        <f t="shared" si="51"/>
        <v>30.11539465157702</v>
      </c>
      <c r="G311" s="103">
        <f t="shared" si="52"/>
        <v>4.2935870599429116</v>
      </c>
    </row>
    <row r="312" spans="1:7" s="141" customFormat="1" ht="13.2" x14ac:dyDescent="0.3">
      <c r="A312" s="157" t="s">
        <v>47</v>
      </c>
      <c r="B312" s="158" t="s">
        <v>48</v>
      </c>
      <c r="C312" s="159">
        <f>C313</f>
        <v>0</v>
      </c>
      <c r="D312" s="160">
        <f t="shared" ref="D312:E312" si="63">D313</f>
        <v>0</v>
      </c>
      <c r="E312" s="160">
        <f t="shared" si="63"/>
        <v>0</v>
      </c>
      <c r="F312" s="252" t="e">
        <f t="shared" si="51"/>
        <v>#DIV/0!</v>
      </c>
      <c r="G312" s="161" t="e">
        <f t="shared" si="52"/>
        <v>#DIV/0!</v>
      </c>
    </row>
    <row r="313" spans="1:7" s="13" customFormat="1" ht="13.2" x14ac:dyDescent="0.3">
      <c r="A313" s="154" t="s">
        <v>52</v>
      </c>
      <c r="B313" s="155" t="s">
        <v>22</v>
      </c>
      <c r="C313" s="156">
        <f>C314+C319</f>
        <v>0</v>
      </c>
      <c r="D313" s="144">
        <f t="shared" ref="D313:E313" si="64">D314+D319</f>
        <v>0</v>
      </c>
      <c r="E313" s="144">
        <f t="shared" si="64"/>
        <v>0</v>
      </c>
      <c r="F313" s="241" t="e">
        <f t="shared" si="51"/>
        <v>#DIV/0!</v>
      </c>
      <c r="G313" s="145" t="e">
        <f t="shared" si="52"/>
        <v>#DIV/0!</v>
      </c>
    </row>
    <row r="314" spans="1:7" s="13" customFormat="1" ht="26.4" x14ac:dyDescent="0.3">
      <c r="A314" s="154" t="s">
        <v>53</v>
      </c>
      <c r="B314" s="155" t="s">
        <v>40</v>
      </c>
      <c r="C314" s="156">
        <f>C315+C317</f>
        <v>0</v>
      </c>
      <c r="D314" s="144">
        <f>D315+D317</f>
        <v>0</v>
      </c>
      <c r="E314" s="144">
        <f>E315+E317</f>
        <v>0</v>
      </c>
      <c r="F314" s="241" t="e">
        <f t="shared" si="51"/>
        <v>#DIV/0!</v>
      </c>
      <c r="G314" s="145" t="e">
        <f t="shared" si="52"/>
        <v>#DIV/0!</v>
      </c>
    </row>
    <row r="315" spans="1:7" s="13" customFormat="1" ht="13.2" x14ac:dyDescent="0.3">
      <c r="A315" s="154">
        <v>422</v>
      </c>
      <c r="B315" s="155" t="s">
        <v>153</v>
      </c>
      <c r="C315" s="156">
        <f>C316</f>
        <v>0</v>
      </c>
      <c r="D315" s="144">
        <f>D316</f>
        <v>0</v>
      </c>
      <c r="E315" s="144">
        <f>E316</f>
        <v>0</v>
      </c>
      <c r="F315" s="241"/>
      <c r="G315" s="145"/>
    </row>
    <row r="316" spans="1:7" s="221" customFormat="1" ht="13.2" x14ac:dyDescent="0.3">
      <c r="A316" s="231">
        <v>4221</v>
      </c>
      <c r="B316" s="232" t="s">
        <v>157</v>
      </c>
      <c r="C316" s="233">
        <v>0</v>
      </c>
      <c r="D316" s="225">
        <v>0</v>
      </c>
      <c r="E316" s="225">
        <v>0</v>
      </c>
      <c r="F316" s="248"/>
      <c r="G316" s="220"/>
    </row>
    <row r="317" spans="1:7" s="13" customFormat="1" ht="26.4" x14ac:dyDescent="0.3">
      <c r="A317" s="154">
        <v>424</v>
      </c>
      <c r="B317" s="155" t="s">
        <v>170</v>
      </c>
      <c r="C317" s="156">
        <f>C318</f>
        <v>0</v>
      </c>
      <c r="D317" s="144">
        <f>D318</f>
        <v>0</v>
      </c>
      <c r="E317" s="144">
        <f>E318</f>
        <v>0</v>
      </c>
      <c r="F317" s="241"/>
      <c r="G317" s="145"/>
    </row>
    <row r="318" spans="1:7" s="221" customFormat="1" ht="13.2" x14ac:dyDescent="0.3">
      <c r="A318" s="231">
        <v>4241</v>
      </c>
      <c r="B318" s="232" t="s">
        <v>144</v>
      </c>
      <c r="C318" s="233">
        <v>0</v>
      </c>
      <c r="D318" s="225">
        <v>0</v>
      </c>
      <c r="E318" s="225">
        <v>0</v>
      </c>
      <c r="F318" s="248"/>
      <c r="G318" s="220"/>
    </row>
    <row r="319" spans="1:7" s="13" customFormat="1" ht="26.4" x14ac:dyDescent="0.3">
      <c r="A319" s="154">
        <v>45</v>
      </c>
      <c r="B319" s="155" t="s">
        <v>171</v>
      </c>
      <c r="C319" s="156">
        <f t="shared" ref="C319:E320" si="65">C320</f>
        <v>0</v>
      </c>
      <c r="D319" s="144">
        <f t="shared" si="65"/>
        <v>0</v>
      </c>
      <c r="E319" s="144">
        <f t="shared" si="65"/>
        <v>0</v>
      </c>
      <c r="F319" s="241" t="e">
        <f t="shared" ref="F319" si="66">E319/C319*100</f>
        <v>#DIV/0!</v>
      </c>
      <c r="G319" s="145" t="e">
        <f t="shared" ref="G319" si="67">E319/D319*100</f>
        <v>#DIV/0!</v>
      </c>
    </row>
    <row r="320" spans="1:7" s="13" customFormat="1" ht="13.2" x14ac:dyDescent="0.3">
      <c r="A320" s="154">
        <v>451</v>
      </c>
      <c r="B320" s="155" t="s">
        <v>147</v>
      </c>
      <c r="C320" s="156">
        <f t="shared" si="65"/>
        <v>0</v>
      </c>
      <c r="D320" s="144">
        <f t="shared" si="65"/>
        <v>0</v>
      </c>
      <c r="E320" s="144">
        <f t="shared" si="65"/>
        <v>0</v>
      </c>
      <c r="F320" s="241"/>
      <c r="G320" s="145"/>
    </row>
    <row r="321" spans="1:7" s="221" customFormat="1" ht="13.2" x14ac:dyDescent="0.3">
      <c r="A321" s="231">
        <v>4511</v>
      </c>
      <c r="B321" s="232" t="s">
        <v>147</v>
      </c>
      <c r="C321" s="233">
        <v>0</v>
      </c>
      <c r="D321" s="225">
        <v>0</v>
      </c>
      <c r="E321" s="225"/>
      <c r="F321" s="248"/>
      <c r="G321" s="220"/>
    </row>
    <row r="322" spans="1:7" s="141" customFormat="1" ht="13.2" x14ac:dyDescent="0.3">
      <c r="A322" s="151" t="s">
        <v>54</v>
      </c>
      <c r="B322" s="152" t="s">
        <v>55</v>
      </c>
      <c r="C322" s="153">
        <f>C323+C329</f>
        <v>14984.23</v>
      </c>
      <c r="D322" s="149">
        <f>D323+D329</f>
        <v>105100</v>
      </c>
      <c r="E322" s="149">
        <f>E323+E329</f>
        <v>4512.5599999999995</v>
      </c>
      <c r="F322" s="250">
        <f t="shared" si="51"/>
        <v>30.11539465157702</v>
      </c>
      <c r="G322" s="150">
        <f t="shared" si="52"/>
        <v>4.2935870599429116</v>
      </c>
    </row>
    <row r="323" spans="1:7" s="13" customFormat="1" ht="13.2" x14ac:dyDescent="0.3">
      <c r="A323" s="154" t="s">
        <v>49</v>
      </c>
      <c r="B323" s="155" t="s">
        <v>20</v>
      </c>
      <c r="C323" s="156">
        <f t="shared" ref="C323:E323" si="68">C324</f>
        <v>12316.19</v>
      </c>
      <c r="D323" s="144">
        <f t="shared" si="68"/>
        <v>20000</v>
      </c>
      <c r="E323" s="144">
        <f t="shared" si="68"/>
        <v>800</v>
      </c>
      <c r="F323" s="241">
        <f t="shared" si="51"/>
        <v>6.4955152526877225</v>
      </c>
      <c r="G323" s="145">
        <f t="shared" si="52"/>
        <v>4</v>
      </c>
    </row>
    <row r="324" spans="1:7" s="13" customFormat="1" ht="13.2" x14ac:dyDescent="0.3">
      <c r="A324" s="154" t="s">
        <v>50</v>
      </c>
      <c r="B324" s="155" t="s">
        <v>33</v>
      </c>
      <c r="C324" s="156">
        <f>C325</f>
        <v>12316.19</v>
      </c>
      <c r="D324" s="144">
        <f>D325</f>
        <v>20000</v>
      </c>
      <c r="E324" s="144">
        <f>E325</f>
        <v>800</v>
      </c>
      <c r="F324" s="241">
        <f t="shared" si="51"/>
        <v>6.4955152526877225</v>
      </c>
      <c r="G324" s="145">
        <f t="shared" si="52"/>
        <v>4</v>
      </c>
    </row>
    <row r="325" spans="1:7" s="13" customFormat="1" ht="13.2" x14ac:dyDescent="0.3">
      <c r="A325" s="154">
        <v>323</v>
      </c>
      <c r="B325" s="155" t="s">
        <v>152</v>
      </c>
      <c r="C325" s="156">
        <f>SUM(C326:C328)</f>
        <v>12316.19</v>
      </c>
      <c r="D325" s="156">
        <f>SUM(D326:D328)</f>
        <v>20000</v>
      </c>
      <c r="E325" s="156">
        <f>SUM(E326:E328)</f>
        <v>800</v>
      </c>
      <c r="F325" s="241"/>
      <c r="G325" s="145"/>
    </row>
    <row r="326" spans="1:7" s="221" customFormat="1" ht="13.2" x14ac:dyDescent="0.3">
      <c r="A326" s="231">
        <v>3232</v>
      </c>
      <c r="B326" s="232" t="s">
        <v>121</v>
      </c>
      <c r="C326" s="233">
        <v>12316.19</v>
      </c>
      <c r="D326" s="225">
        <v>20000</v>
      </c>
      <c r="E326" s="225">
        <v>800</v>
      </c>
      <c r="F326" s="248"/>
      <c r="G326" s="220"/>
    </row>
    <row r="327" spans="1:7" s="221" customFormat="1" ht="13.2" x14ac:dyDescent="0.3">
      <c r="A327" s="231">
        <v>3237</v>
      </c>
      <c r="B327" s="232" t="s">
        <v>132</v>
      </c>
      <c r="C327" s="233"/>
      <c r="D327" s="225"/>
      <c r="E327" s="225"/>
      <c r="F327" s="248"/>
      <c r="G327" s="220"/>
    </row>
    <row r="328" spans="1:7" s="221" customFormat="1" ht="13.2" x14ac:dyDescent="0.3">
      <c r="A328" s="231">
        <v>3299</v>
      </c>
      <c r="B328" s="232" t="s">
        <v>138</v>
      </c>
      <c r="C328" s="233"/>
      <c r="D328" s="225"/>
      <c r="E328" s="225"/>
      <c r="F328" s="248"/>
      <c r="G328" s="220"/>
    </row>
    <row r="329" spans="1:7" s="13" customFormat="1" ht="13.2" x14ac:dyDescent="0.3">
      <c r="A329" s="154" t="s">
        <v>52</v>
      </c>
      <c r="B329" s="155" t="s">
        <v>22</v>
      </c>
      <c r="C329" s="156">
        <f>C330+C338</f>
        <v>2668.04</v>
      </c>
      <c r="D329" s="144">
        <f>D330+D338</f>
        <v>85100</v>
      </c>
      <c r="E329" s="144">
        <f>E330+E338</f>
        <v>3712.56</v>
      </c>
      <c r="F329" s="241">
        <f t="shared" si="51"/>
        <v>139.14933809088319</v>
      </c>
      <c r="G329" s="145">
        <f t="shared" si="52"/>
        <v>4.3625851938895419</v>
      </c>
    </row>
    <row r="330" spans="1:7" s="13" customFormat="1" ht="26.4" x14ac:dyDescent="0.3">
      <c r="A330" s="154" t="s">
        <v>53</v>
      </c>
      <c r="B330" s="155" t="s">
        <v>40</v>
      </c>
      <c r="C330" s="156">
        <f>C331+C334+C336</f>
        <v>2668.04</v>
      </c>
      <c r="D330" s="156">
        <f>D331+D334+D336</f>
        <v>35100</v>
      </c>
      <c r="E330" s="156">
        <f t="shared" ref="E330" si="69">E331+E334+E336</f>
        <v>3712.56</v>
      </c>
      <c r="F330" s="241">
        <f t="shared" si="51"/>
        <v>139.14933809088319</v>
      </c>
      <c r="G330" s="145">
        <f t="shared" si="52"/>
        <v>10.577094017094018</v>
      </c>
    </row>
    <row r="331" spans="1:7" s="13" customFormat="1" ht="13.2" x14ac:dyDescent="0.3">
      <c r="A331" s="154">
        <v>422</v>
      </c>
      <c r="B331" s="155" t="s">
        <v>153</v>
      </c>
      <c r="C331" s="156">
        <f>C333+C332</f>
        <v>1125.5999999999999</v>
      </c>
      <c r="D331" s="156">
        <f>D333+D332</f>
        <v>35000</v>
      </c>
      <c r="E331" s="156">
        <f t="shared" ref="E331" si="70">E333+E332</f>
        <v>3712.56</v>
      </c>
      <c r="F331" s="241"/>
      <c r="G331" s="145"/>
    </row>
    <row r="332" spans="1:7" s="221" customFormat="1" ht="13.2" x14ac:dyDescent="0.3">
      <c r="A332" s="231">
        <v>4221</v>
      </c>
      <c r="B332" s="232" t="s">
        <v>157</v>
      </c>
      <c r="C332" s="233"/>
      <c r="D332" s="225">
        <v>30000</v>
      </c>
      <c r="E332" s="225">
        <v>0</v>
      </c>
      <c r="F332" s="248"/>
      <c r="G332" s="220"/>
    </row>
    <row r="333" spans="1:7" s="221" customFormat="1" ht="13.2" x14ac:dyDescent="0.3">
      <c r="A333" s="231">
        <v>4227</v>
      </c>
      <c r="B333" s="232" t="s">
        <v>145</v>
      </c>
      <c r="C333" s="233">
        <v>1125.5999999999999</v>
      </c>
      <c r="D333" s="225">
        <v>5000</v>
      </c>
      <c r="E333" s="225">
        <v>3712.56</v>
      </c>
      <c r="F333" s="248"/>
      <c r="G333" s="220"/>
    </row>
    <row r="334" spans="1:7" s="13" customFormat="1" ht="26.4" x14ac:dyDescent="0.3">
      <c r="A334" s="154">
        <v>424</v>
      </c>
      <c r="B334" s="155" t="s">
        <v>170</v>
      </c>
      <c r="C334" s="156">
        <f>C335</f>
        <v>76.81</v>
      </c>
      <c r="D334" s="144">
        <f>D335</f>
        <v>100</v>
      </c>
      <c r="E334" s="144">
        <f>E335</f>
        <v>0</v>
      </c>
      <c r="F334" s="241"/>
      <c r="G334" s="145"/>
    </row>
    <row r="335" spans="1:7" s="221" customFormat="1" ht="13.2" x14ac:dyDescent="0.3">
      <c r="A335" s="231">
        <v>4241</v>
      </c>
      <c r="B335" s="232" t="s">
        <v>144</v>
      </c>
      <c r="C335" s="233">
        <v>76.81</v>
      </c>
      <c r="D335" s="225">
        <v>100</v>
      </c>
      <c r="E335" s="225">
        <v>0</v>
      </c>
      <c r="F335" s="248"/>
      <c r="G335" s="220"/>
    </row>
    <row r="336" spans="1:7" s="13" customFormat="1" ht="13.2" x14ac:dyDescent="0.3">
      <c r="A336" s="154">
        <v>426</v>
      </c>
      <c r="B336" s="155" t="s">
        <v>160</v>
      </c>
      <c r="C336" s="156">
        <f>C337</f>
        <v>1465.63</v>
      </c>
      <c r="D336" s="144">
        <f>D337</f>
        <v>0</v>
      </c>
      <c r="E336" s="144">
        <f>E337</f>
        <v>0</v>
      </c>
      <c r="F336" s="241"/>
      <c r="G336" s="145"/>
    </row>
    <row r="337" spans="1:7" s="221" customFormat="1" ht="13.2" x14ac:dyDescent="0.3">
      <c r="A337" s="231">
        <v>4262</v>
      </c>
      <c r="B337" s="232" t="s">
        <v>142</v>
      </c>
      <c r="C337" s="233">
        <v>1465.63</v>
      </c>
      <c r="D337" s="225">
        <v>0</v>
      </c>
      <c r="E337" s="225">
        <v>0</v>
      </c>
      <c r="F337" s="248"/>
      <c r="G337" s="220"/>
    </row>
    <row r="338" spans="1:7" s="13" customFormat="1" ht="26.4" x14ac:dyDescent="0.3">
      <c r="A338" s="154">
        <v>45</v>
      </c>
      <c r="B338" s="155" t="s">
        <v>171</v>
      </c>
      <c r="C338" s="156">
        <f t="shared" ref="C338:E339" si="71">C339</f>
        <v>0</v>
      </c>
      <c r="D338" s="144">
        <f t="shared" si="71"/>
        <v>50000</v>
      </c>
      <c r="E338" s="144">
        <f t="shared" si="71"/>
        <v>0</v>
      </c>
      <c r="F338" s="241" t="e">
        <f t="shared" si="51"/>
        <v>#DIV/0!</v>
      </c>
      <c r="G338" s="145">
        <f t="shared" si="52"/>
        <v>0</v>
      </c>
    </row>
    <row r="339" spans="1:7" s="13" customFormat="1" ht="13.2" x14ac:dyDescent="0.3">
      <c r="A339" s="154">
        <v>451</v>
      </c>
      <c r="B339" s="155" t="s">
        <v>147</v>
      </c>
      <c r="C339" s="156">
        <f t="shared" si="71"/>
        <v>0</v>
      </c>
      <c r="D339" s="144">
        <f t="shared" si="71"/>
        <v>50000</v>
      </c>
      <c r="E339" s="144">
        <f t="shared" si="71"/>
        <v>0</v>
      </c>
      <c r="F339" s="241"/>
      <c r="G339" s="145"/>
    </row>
    <row r="340" spans="1:7" s="221" customFormat="1" ht="13.8" thickBot="1" x14ac:dyDescent="0.35">
      <c r="A340" s="231">
        <v>4511</v>
      </c>
      <c r="B340" s="232" t="s">
        <v>147</v>
      </c>
      <c r="C340" s="233">
        <v>0</v>
      </c>
      <c r="D340" s="225">
        <v>50000</v>
      </c>
      <c r="E340" s="225">
        <v>0</v>
      </c>
      <c r="F340" s="248"/>
      <c r="G340" s="220"/>
    </row>
    <row r="341" spans="1:7" s="13" customFormat="1" ht="27" thickBot="1" x14ac:dyDescent="0.35">
      <c r="A341" s="98" t="s">
        <v>81</v>
      </c>
      <c r="B341" s="19" t="s">
        <v>82</v>
      </c>
      <c r="C341" s="68">
        <f>C357+C377+C342+C372</f>
        <v>70271.55</v>
      </c>
      <c r="D341" s="68">
        <f t="shared" ref="D341:E341" si="72">D357+D377+D342+D372</f>
        <v>75200</v>
      </c>
      <c r="E341" s="68">
        <f t="shared" si="72"/>
        <v>25679.67</v>
      </c>
      <c r="F341" s="254">
        <f t="shared" si="51"/>
        <v>36.54348025623456</v>
      </c>
      <c r="G341" s="103">
        <f t="shared" si="52"/>
        <v>34.148497340425536</v>
      </c>
    </row>
    <row r="342" spans="1:7" s="141" customFormat="1" ht="13.2" x14ac:dyDescent="0.3">
      <c r="A342" s="163" t="s">
        <v>47</v>
      </c>
      <c r="B342" s="164" t="s">
        <v>48</v>
      </c>
      <c r="C342" s="165">
        <f>C343</f>
        <v>28044.93</v>
      </c>
      <c r="D342" s="139">
        <f>D343</f>
        <v>30080</v>
      </c>
      <c r="E342" s="139">
        <f>E343</f>
        <v>6360.26</v>
      </c>
      <c r="F342" s="245">
        <f t="shared" ref="F342:F344" si="73">E342/C342*100</f>
        <v>22.678822874580181</v>
      </c>
      <c r="G342" s="140">
        <f t="shared" ref="G342:G344" si="74">E342/D342*100</f>
        <v>21.144481382978725</v>
      </c>
    </row>
    <row r="343" spans="1:7" s="13" customFormat="1" ht="13.2" x14ac:dyDescent="0.3">
      <c r="A343" s="154" t="s">
        <v>49</v>
      </c>
      <c r="B343" s="155" t="s">
        <v>20</v>
      </c>
      <c r="C343" s="156">
        <f>C344+C351</f>
        <v>28044.93</v>
      </c>
      <c r="D343" s="144">
        <f>D344+D351</f>
        <v>30080</v>
      </c>
      <c r="E343" s="144">
        <f>E344+E351</f>
        <v>6360.26</v>
      </c>
      <c r="F343" s="241">
        <f t="shared" si="73"/>
        <v>22.678822874580181</v>
      </c>
      <c r="G343" s="145">
        <f t="shared" si="74"/>
        <v>21.144481382978725</v>
      </c>
    </row>
    <row r="344" spans="1:7" s="13" customFormat="1" ht="13.2" x14ac:dyDescent="0.3">
      <c r="A344" s="154" t="s">
        <v>61</v>
      </c>
      <c r="B344" s="155" t="s">
        <v>21</v>
      </c>
      <c r="C344" s="156">
        <f>C345+C347+C349</f>
        <v>27111.510000000002</v>
      </c>
      <c r="D344" s="144">
        <f>D345+D347+D349</f>
        <v>28640</v>
      </c>
      <c r="E344" s="144">
        <f>E345+E347+E349</f>
        <v>6002</v>
      </c>
      <c r="F344" s="241">
        <f t="shared" si="73"/>
        <v>22.138198868303537</v>
      </c>
      <c r="G344" s="145">
        <f t="shared" si="74"/>
        <v>20.956703910614525</v>
      </c>
    </row>
    <row r="345" spans="1:7" s="13" customFormat="1" ht="13.2" x14ac:dyDescent="0.3">
      <c r="A345" s="154">
        <v>311</v>
      </c>
      <c r="B345" s="155" t="s">
        <v>161</v>
      </c>
      <c r="C345" s="156">
        <f>SUM(C346:C346)</f>
        <v>21891.81</v>
      </c>
      <c r="D345" s="144">
        <f>SUM(D346:D346)</f>
        <v>23040</v>
      </c>
      <c r="E345" s="144">
        <f>SUM(E346:E346)</f>
        <v>3911.79</v>
      </c>
      <c r="F345" s="241"/>
      <c r="G345" s="145"/>
    </row>
    <row r="346" spans="1:7" s="221" customFormat="1" ht="13.2" x14ac:dyDescent="0.3">
      <c r="A346" s="231">
        <v>3111</v>
      </c>
      <c r="B346" s="232" t="s">
        <v>162</v>
      </c>
      <c r="C346" s="233">
        <v>21891.81</v>
      </c>
      <c r="D346" s="225">
        <v>23040</v>
      </c>
      <c r="E346" s="225">
        <v>3911.79</v>
      </c>
      <c r="F346" s="248"/>
      <c r="G346" s="220"/>
    </row>
    <row r="347" spans="1:7" s="13" customFormat="1" ht="13.2" x14ac:dyDescent="0.3">
      <c r="A347" s="154">
        <v>312</v>
      </c>
      <c r="B347" s="155" t="s">
        <v>146</v>
      </c>
      <c r="C347" s="156">
        <f>C348</f>
        <v>1596.57</v>
      </c>
      <c r="D347" s="144">
        <f>D348</f>
        <v>2000</v>
      </c>
      <c r="E347" s="144">
        <f>E348</f>
        <v>799.41</v>
      </c>
      <c r="F347" s="241"/>
      <c r="G347" s="145"/>
    </row>
    <row r="348" spans="1:7" s="221" customFormat="1" ht="13.2" x14ac:dyDescent="0.3">
      <c r="A348" s="231">
        <v>3121</v>
      </c>
      <c r="B348" s="232" t="s">
        <v>146</v>
      </c>
      <c r="C348" s="233">
        <v>1596.57</v>
      </c>
      <c r="D348" s="225">
        <v>2000</v>
      </c>
      <c r="E348" s="225">
        <v>799.41</v>
      </c>
      <c r="F348" s="248"/>
      <c r="G348" s="220"/>
    </row>
    <row r="349" spans="1:7" s="13" customFormat="1" ht="13.2" x14ac:dyDescent="0.3">
      <c r="A349" s="154">
        <v>313</v>
      </c>
      <c r="B349" s="155" t="s">
        <v>165</v>
      </c>
      <c r="C349" s="156">
        <f>C350</f>
        <v>3623.13</v>
      </c>
      <c r="D349" s="144">
        <f>D350</f>
        <v>3600</v>
      </c>
      <c r="E349" s="144">
        <f>E350</f>
        <v>1290.8</v>
      </c>
      <c r="F349" s="241"/>
      <c r="G349" s="145"/>
    </row>
    <row r="350" spans="1:7" s="221" customFormat="1" ht="13.2" x14ac:dyDescent="0.3">
      <c r="A350" s="231">
        <v>3132</v>
      </c>
      <c r="B350" s="232" t="s">
        <v>166</v>
      </c>
      <c r="C350" s="233">
        <v>3623.13</v>
      </c>
      <c r="D350" s="225">
        <v>3600</v>
      </c>
      <c r="E350" s="225">
        <v>1290.8</v>
      </c>
      <c r="F350" s="248"/>
      <c r="G350" s="220"/>
    </row>
    <row r="351" spans="1:7" s="13" customFormat="1" ht="13.2" x14ac:dyDescent="0.3">
      <c r="A351" s="154" t="s">
        <v>50</v>
      </c>
      <c r="B351" s="155" t="s">
        <v>33</v>
      </c>
      <c r="C351" s="156">
        <f>C352+C355</f>
        <v>933.42</v>
      </c>
      <c r="D351" s="156">
        <f>D352+D355</f>
        <v>1440</v>
      </c>
      <c r="E351" s="156">
        <f t="shared" ref="E351" si="75">E352+E355</f>
        <v>358.26</v>
      </c>
      <c r="F351" s="241">
        <f t="shared" ref="F351:F352" si="76">E351/C351*100</f>
        <v>38.381436009513401</v>
      </c>
      <c r="G351" s="145">
        <f t="shared" ref="G351:G352" si="77">E351/D351*100</f>
        <v>24.879166666666666</v>
      </c>
    </row>
    <row r="352" spans="1:7" s="13" customFormat="1" ht="13.2" x14ac:dyDescent="0.3">
      <c r="A352" s="154">
        <v>321</v>
      </c>
      <c r="B352" s="155" t="s">
        <v>150</v>
      </c>
      <c r="C352" s="156">
        <f>C353+C354</f>
        <v>933.42</v>
      </c>
      <c r="D352" s="144">
        <f>D353+D354</f>
        <v>1440</v>
      </c>
      <c r="E352" s="144">
        <f>E353+E354</f>
        <v>358.26</v>
      </c>
      <c r="F352" s="241">
        <f t="shared" si="76"/>
        <v>38.381436009513401</v>
      </c>
      <c r="G352" s="145">
        <f t="shared" si="77"/>
        <v>24.879166666666666</v>
      </c>
    </row>
    <row r="353" spans="1:7" s="221" customFormat="1" ht="13.2" x14ac:dyDescent="0.3">
      <c r="A353" s="231">
        <v>3211</v>
      </c>
      <c r="B353" s="232" t="s">
        <v>124</v>
      </c>
      <c r="C353" s="233"/>
      <c r="D353" s="225"/>
      <c r="E353" s="225"/>
      <c r="F353" s="248"/>
      <c r="G353" s="220"/>
    </row>
    <row r="354" spans="1:7" s="221" customFormat="1" ht="13.2" x14ac:dyDescent="0.3">
      <c r="A354" s="231">
        <v>3212</v>
      </c>
      <c r="B354" s="232" t="s">
        <v>167</v>
      </c>
      <c r="C354" s="233">
        <v>933.42</v>
      </c>
      <c r="D354" s="225">
        <v>1440</v>
      </c>
      <c r="E354" s="225">
        <v>358.26</v>
      </c>
      <c r="F354" s="248"/>
      <c r="G354" s="220"/>
    </row>
    <row r="355" spans="1:7" s="13" customFormat="1" ht="13.2" x14ac:dyDescent="0.3">
      <c r="A355" s="154">
        <v>323</v>
      </c>
      <c r="B355" s="155" t="s">
        <v>152</v>
      </c>
      <c r="C355" s="156">
        <f>C356</f>
        <v>0</v>
      </c>
      <c r="D355" s="156">
        <f>D356</f>
        <v>0</v>
      </c>
      <c r="E355" s="156">
        <f t="shared" ref="E355" si="78">E356</f>
        <v>0</v>
      </c>
      <c r="F355" s="241"/>
      <c r="G355" s="145"/>
    </row>
    <row r="356" spans="1:7" s="221" customFormat="1" ht="13.8" thickBot="1" x14ac:dyDescent="0.35">
      <c r="A356" s="231">
        <v>3236</v>
      </c>
      <c r="B356" s="232" t="s">
        <v>156</v>
      </c>
      <c r="C356" s="233"/>
      <c r="D356" s="225"/>
      <c r="E356" s="225"/>
      <c r="F356" s="248"/>
      <c r="G356" s="220"/>
    </row>
    <row r="357" spans="1:7" s="141" customFormat="1" ht="26.4" x14ac:dyDescent="0.3">
      <c r="A357" s="163" t="s">
        <v>324</v>
      </c>
      <c r="B357" s="164" t="s">
        <v>68</v>
      </c>
      <c r="C357" s="165">
        <f>C358</f>
        <v>42226.62</v>
      </c>
      <c r="D357" s="139">
        <f>D358</f>
        <v>45120</v>
      </c>
      <c r="E357" s="139">
        <f>E358</f>
        <v>15407.619999999999</v>
      </c>
      <c r="F357" s="245">
        <f t="shared" si="51"/>
        <v>36.48793107286351</v>
      </c>
      <c r="G357" s="140">
        <f t="shared" si="52"/>
        <v>34.148093971631205</v>
      </c>
    </row>
    <row r="358" spans="1:7" s="13" customFormat="1" ht="13.2" x14ac:dyDescent="0.3">
      <c r="A358" s="154" t="s">
        <v>49</v>
      </c>
      <c r="B358" s="155" t="s">
        <v>20</v>
      </c>
      <c r="C358" s="156">
        <f>C359+C366</f>
        <v>42226.62</v>
      </c>
      <c r="D358" s="144">
        <f>D359+D366</f>
        <v>45120</v>
      </c>
      <c r="E358" s="144">
        <f>E359+E366</f>
        <v>15407.619999999999</v>
      </c>
      <c r="F358" s="241">
        <f t="shared" si="51"/>
        <v>36.48793107286351</v>
      </c>
      <c r="G358" s="145">
        <f t="shared" si="52"/>
        <v>34.148093971631205</v>
      </c>
    </row>
    <row r="359" spans="1:7" s="13" customFormat="1" ht="13.2" x14ac:dyDescent="0.3">
      <c r="A359" s="154" t="s">
        <v>61</v>
      </c>
      <c r="B359" s="155" t="s">
        <v>21</v>
      </c>
      <c r="C359" s="156">
        <f>C360+C362+C364</f>
        <v>40826.550000000003</v>
      </c>
      <c r="D359" s="144">
        <f>D360+D362+D364</f>
        <v>42960</v>
      </c>
      <c r="E359" s="144">
        <f>E360+E362+E364</f>
        <v>14870.32</v>
      </c>
      <c r="F359" s="241">
        <f t="shared" si="51"/>
        <v>36.423160908771372</v>
      </c>
      <c r="G359" s="145">
        <f t="shared" si="52"/>
        <v>34.614338919925515</v>
      </c>
    </row>
    <row r="360" spans="1:7" s="13" customFormat="1" ht="13.2" x14ac:dyDescent="0.3">
      <c r="A360" s="154">
        <v>311</v>
      </c>
      <c r="B360" s="155" t="s">
        <v>161</v>
      </c>
      <c r="C360" s="156">
        <f>SUM(C361:C361)</f>
        <v>32997.93</v>
      </c>
      <c r="D360" s="144">
        <f>SUM(D361:D361)</f>
        <v>34560</v>
      </c>
      <c r="E360" s="144">
        <f>SUM(E361:E361)</f>
        <v>11734.92</v>
      </c>
      <c r="F360" s="241"/>
      <c r="G360" s="145"/>
    </row>
    <row r="361" spans="1:7" s="221" customFormat="1" ht="13.2" x14ac:dyDescent="0.3">
      <c r="A361" s="231">
        <v>3111</v>
      </c>
      <c r="B361" s="232" t="s">
        <v>162</v>
      </c>
      <c r="C361" s="233">
        <v>32997.93</v>
      </c>
      <c r="D361" s="225">
        <v>34560</v>
      </c>
      <c r="E361" s="225">
        <v>11734.92</v>
      </c>
      <c r="F361" s="248"/>
      <c r="G361" s="220"/>
    </row>
    <row r="362" spans="1:7" s="13" customFormat="1" ht="13.2" x14ac:dyDescent="0.3">
      <c r="A362" s="154">
        <v>312</v>
      </c>
      <c r="B362" s="155" t="s">
        <v>146</v>
      </c>
      <c r="C362" s="156">
        <f>C363</f>
        <v>2394.87</v>
      </c>
      <c r="D362" s="144">
        <f>D363</f>
        <v>3000</v>
      </c>
      <c r="E362" s="144">
        <f>E363</f>
        <v>1199.1099999999999</v>
      </c>
      <c r="F362" s="241"/>
      <c r="G362" s="145"/>
    </row>
    <row r="363" spans="1:7" s="221" customFormat="1" ht="13.2" x14ac:dyDescent="0.3">
      <c r="A363" s="231">
        <v>3121</v>
      </c>
      <c r="B363" s="232" t="s">
        <v>146</v>
      </c>
      <c r="C363" s="233">
        <v>2394.87</v>
      </c>
      <c r="D363" s="225">
        <v>3000</v>
      </c>
      <c r="E363" s="225">
        <v>1199.1099999999999</v>
      </c>
      <c r="F363" s="248"/>
      <c r="G363" s="220"/>
    </row>
    <row r="364" spans="1:7" s="13" customFormat="1" ht="13.2" x14ac:dyDescent="0.3">
      <c r="A364" s="154">
        <v>313</v>
      </c>
      <c r="B364" s="155" t="s">
        <v>165</v>
      </c>
      <c r="C364" s="156">
        <f>C365</f>
        <v>5433.75</v>
      </c>
      <c r="D364" s="144">
        <f>D365</f>
        <v>5400</v>
      </c>
      <c r="E364" s="144">
        <f>E365</f>
        <v>1936.29</v>
      </c>
      <c r="F364" s="241"/>
      <c r="G364" s="145"/>
    </row>
    <row r="365" spans="1:7" s="221" customFormat="1" ht="13.2" x14ac:dyDescent="0.3">
      <c r="A365" s="231">
        <v>3132</v>
      </c>
      <c r="B365" s="232" t="s">
        <v>166</v>
      </c>
      <c r="C365" s="233">
        <v>5433.75</v>
      </c>
      <c r="D365" s="225">
        <v>5400</v>
      </c>
      <c r="E365" s="225">
        <v>1936.29</v>
      </c>
      <c r="F365" s="248"/>
      <c r="G365" s="220"/>
    </row>
    <row r="366" spans="1:7" s="13" customFormat="1" ht="13.2" x14ac:dyDescent="0.3">
      <c r="A366" s="154" t="s">
        <v>50</v>
      </c>
      <c r="B366" s="155" t="s">
        <v>33</v>
      </c>
      <c r="C366" s="156">
        <f>C367+C370</f>
        <v>1400.07</v>
      </c>
      <c r="D366" s="156">
        <f>D367+D370</f>
        <v>2160</v>
      </c>
      <c r="E366" s="156">
        <f t="shared" ref="E366" si="79">E367+E370</f>
        <v>537.29999999999995</v>
      </c>
      <c r="F366" s="241">
        <f t="shared" si="51"/>
        <v>38.376652595941628</v>
      </c>
      <c r="G366" s="145">
        <f t="shared" si="52"/>
        <v>24.874999999999996</v>
      </c>
    </row>
    <row r="367" spans="1:7" s="13" customFormat="1" ht="13.2" x14ac:dyDescent="0.3">
      <c r="A367" s="154">
        <v>321</v>
      </c>
      <c r="B367" s="155" t="s">
        <v>150</v>
      </c>
      <c r="C367" s="156">
        <f>C368+C369</f>
        <v>1400.07</v>
      </c>
      <c r="D367" s="144">
        <f>D368+D369</f>
        <v>2160</v>
      </c>
      <c r="E367" s="144">
        <f>E368+E369</f>
        <v>537.29999999999995</v>
      </c>
      <c r="F367" s="241">
        <f t="shared" si="51"/>
        <v>38.376652595941628</v>
      </c>
      <c r="G367" s="145">
        <f t="shared" si="52"/>
        <v>24.874999999999996</v>
      </c>
    </row>
    <row r="368" spans="1:7" s="221" customFormat="1" ht="13.2" x14ac:dyDescent="0.3">
      <c r="A368" s="231">
        <v>3211</v>
      </c>
      <c r="B368" s="232" t="s">
        <v>124</v>
      </c>
      <c r="C368" s="233"/>
      <c r="D368" s="225"/>
      <c r="E368" s="225"/>
      <c r="F368" s="248"/>
      <c r="G368" s="220"/>
    </row>
    <row r="369" spans="1:7" s="221" customFormat="1" ht="13.2" x14ac:dyDescent="0.3">
      <c r="A369" s="231">
        <v>3212</v>
      </c>
      <c r="B369" s="232" t="s">
        <v>167</v>
      </c>
      <c r="C369" s="233">
        <v>1400.07</v>
      </c>
      <c r="D369" s="225">
        <v>2160</v>
      </c>
      <c r="E369" s="225">
        <v>537.29999999999995</v>
      </c>
      <c r="F369" s="248"/>
      <c r="G369" s="220"/>
    </row>
    <row r="370" spans="1:7" s="13" customFormat="1" ht="13.2" x14ac:dyDescent="0.3">
      <c r="A370" s="154">
        <v>323</v>
      </c>
      <c r="B370" s="155" t="s">
        <v>152</v>
      </c>
      <c r="C370" s="156">
        <f>C371</f>
        <v>0</v>
      </c>
      <c r="D370" s="156">
        <f>D371</f>
        <v>0</v>
      </c>
      <c r="E370" s="156">
        <f t="shared" ref="E370" si="80">E371</f>
        <v>0</v>
      </c>
      <c r="F370" s="241"/>
      <c r="G370" s="145"/>
    </row>
    <row r="371" spans="1:7" s="221" customFormat="1" ht="13.8" thickBot="1" x14ac:dyDescent="0.35">
      <c r="A371" s="231">
        <v>3236</v>
      </c>
      <c r="B371" s="232" t="s">
        <v>156</v>
      </c>
      <c r="C371" s="233"/>
      <c r="D371" s="225"/>
      <c r="E371" s="225"/>
      <c r="F371" s="248"/>
      <c r="G371" s="220"/>
    </row>
    <row r="372" spans="1:7" s="141" customFormat="1" ht="26.4" x14ac:dyDescent="0.3">
      <c r="A372" s="163" t="s">
        <v>325</v>
      </c>
      <c r="B372" s="164" t="s">
        <v>326</v>
      </c>
      <c r="C372" s="165">
        <f>C373</f>
        <v>0</v>
      </c>
      <c r="D372" s="139">
        <f>D373</f>
        <v>0</v>
      </c>
      <c r="E372" s="139">
        <f>E373</f>
        <v>0</v>
      </c>
      <c r="F372" s="245" t="e">
        <f t="shared" ref="F372:F374" si="81">E372/C372*100</f>
        <v>#DIV/0!</v>
      </c>
      <c r="G372" s="140" t="e">
        <f t="shared" ref="G372:G374" si="82">E372/D372*100</f>
        <v>#DIV/0!</v>
      </c>
    </row>
    <row r="373" spans="1:7" s="13" customFormat="1" ht="13.2" x14ac:dyDescent="0.3">
      <c r="A373" s="154" t="s">
        <v>49</v>
      </c>
      <c r="B373" s="155" t="s">
        <v>20</v>
      </c>
      <c r="C373" s="156">
        <f t="shared" ref="C373:C375" si="83">C374</f>
        <v>0</v>
      </c>
      <c r="D373" s="144">
        <f>D374</f>
        <v>0</v>
      </c>
      <c r="E373" s="144">
        <f t="shared" ref="E373:E375" si="84">E374</f>
        <v>0</v>
      </c>
      <c r="F373" s="241" t="e">
        <f t="shared" si="81"/>
        <v>#DIV/0!</v>
      </c>
      <c r="G373" s="145" t="e">
        <f t="shared" si="82"/>
        <v>#DIV/0!</v>
      </c>
    </row>
    <row r="374" spans="1:7" s="13" customFormat="1" ht="13.2" x14ac:dyDescent="0.3">
      <c r="A374" s="154" t="s">
        <v>61</v>
      </c>
      <c r="B374" s="155" t="s">
        <v>21</v>
      </c>
      <c r="C374" s="156">
        <f t="shared" si="83"/>
        <v>0</v>
      </c>
      <c r="D374" s="144">
        <f>D375</f>
        <v>0</v>
      </c>
      <c r="E374" s="144">
        <f t="shared" si="84"/>
        <v>0</v>
      </c>
      <c r="F374" s="241" t="e">
        <f t="shared" si="81"/>
        <v>#DIV/0!</v>
      </c>
      <c r="G374" s="145" t="e">
        <f t="shared" si="82"/>
        <v>#DIV/0!</v>
      </c>
    </row>
    <row r="375" spans="1:7" s="13" customFormat="1" ht="13.2" x14ac:dyDescent="0.3">
      <c r="A375" s="154">
        <v>311</v>
      </c>
      <c r="B375" s="155" t="s">
        <v>161</v>
      </c>
      <c r="C375" s="156">
        <f t="shared" si="83"/>
        <v>0</v>
      </c>
      <c r="D375" s="144">
        <f>D376</f>
        <v>0</v>
      </c>
      <c r="E375" s="144">
        <f t="shared" si="84"/>
        <v>0</v>
      </c>
      <c r="F375" s="241"/>
      <c r="G375" s="145"/>
    </row>
    <row r="376" spans="1:7" s="221" customFormat="1" ht="13.2" x14ac:dyDescent="0.3">
      <c r="A376" s="231">
        <v>3111</v>
      </c>
      <c r="B376" s="232" t="s">
        <v>162</v>
      </c>
      <c r="C376" s="233">
        <v>0</v>
      </c>
      <c r="D376" s="225"/>
      <c r="E376" s="225"/>
      <c r="F376" s="248"/>
      <c r="G376" s="220"/>
    </row>
    <row r="377" spans="1:7" s="141" customFormat="1" ht="26.4" x14ac:dyDescent="0.3">
      <c r="A377" s="151" t="s">
        <v>323</v>
      </c>
      <c r="B377" s="152" t="s">
        <v>51</v>
      </c>
      <c r="C377" s="153">
        <f>C378</f>
        <v>0</v>
      </c>
      <c r="D377" s="149">
        <f>D378</f>
        <v>0</v>
      </c>
      <c r="E377" s="149">
        <f>E378</f>
        <v>3911.79</v>
      </c>
      <c r="F377" s="250" t="e">
        <f t="shared" ref="F377:F386" si="85">E377/C377*100</f>
        <v>#DIV/0!</v>
      </c>
      <c r="G377" s="150" t="e">
        <f t="shared" ref="G377:G386" si="86">E377/D377*100</f>
        <v>#DIV/0!</v>
      </c>
    </row>
    <row r="378" spans="1:7" s="13" customFormat="1" ht="13.2" x14ac:dyDescent="0.3">
      <c r="A378" s="154" t="s">
        <v>49</v>
      </c>
      <c r="B378" s="155" t="s">
        <v>20</v>
      </c>
      <c r="C378" s="156">
        <f>C379+C386</f>
        <v>0</v>
      </c>
      <c r="D378" s="144">
        <f>D379+D386</f>
        <v>0</v>
      </c>
      <c r="E378" s="144">
        <f>E379+E386</f>
        <v>3911.79</v>
      </c>
      <c r="F378" s="241" t="e">
        <f t="shared" si="85"/>
        <v>#DIV/0!</v>
      </c>
      <c r="G378" s="145" t="e">
        <f t="shared" si="86"/>
        <v>#DIV/0!</v>
      </c>
    </row>
    <row r="379" spans="1:7" s="13" customFormat="1" ht="13.2" x14ac:dyDescent="0.3">
      <c r="A379" s="154" t="s">
        <v>61</v>
      </c>
      <c r="B379" s="155" t="s">
        <v>21</v>
      </c>
      <c r="C379" s="156">
        <f>C380+C382+C384</f>
        <v>0</v>
      </c>
      <c r="D379" s="144">
        <f>D380+D382+D384</f>
        <v>0</v>
      </c>
      <c r="E379" s="144">
        <f>E380+E382+E384</f>
        <v>3911.79</v>
      </c>
      <c r="F379" s="241" t="e">
        <f t="shared" si="85"/>
        <v>#DIV/0!</v>
      </c>
      <c r="G379" s="145" t="e">
        <f t="shared" si="86"/>
        <v>#DIV/0!</v>
      </c>
    </row>
    <row r="380" spans="1:7" s="13" customFormat="1" ht="13.2" x14ac:dyDescent="0.3">
      <c r="A380" s="154">
        <v>311</v>
      </c>
      <c r="B380" s="155" t="s">
        <v>161</v>
      </c>
      <c r="C380" s="156">
        <f>SUM(C381:C381)</f>
        <v>0</v>
      </c>
      <c r="D380" s="144">
        <f>SUM(D381:D381)</f>
        <v>0</v>
      </c>
      <c r="E380" s="144">
        <f>SUM(E381:E381)</f>
        <v>3911.79</v>
      </c>
      <c r="F380" s="241"/>
      <c r="G380" s="145"/>
    </row>
    <row r="381" spans="1:7" s="221" customFormat="1" ht="13.2" x14ac:dyDescent="0.3">
      <c r="A381" s="231">
        <v>3111</v>
      </c>
      <c r="B381" s="232" t="s">
        <v>162</v>
      </c>
      <c r="C381" s="233">
        <v>0</v>
      </c>
      <c r="D381" s="225"/>
      <c r="E381" s="225">
        <v>3911.79</v>
      </c>
      <c r="F381" s="248"/>
      <c r="G381" s="220"/>
    </row>
    <row r="382" spans="1:7" s="13" customFormat="1" ht="13.2" x14ac:dyDescent="0.3">
      <c r="A382" s="154">
        <v>312</v>
      </c>
      <c r="B382" s="155" t="s">
        <v>146</v>
      </c>
      <c r="C382" s="156">
        <f>C383</f>
        <v>0</v>
      </c>
      <c r="D382" s="144">
        <f>D383</f>
        <v>0</v>
      </c>
      <c r="E382" s="144">
        <f>E383</f>
        <v>0</v>
      </c>
      <c r="F382" s="241"/>
      <c r="G382" s="145"/>
    </row>
    <row r="383" spans="1:7" s="221" customFormat="1" ht="13.2" x14ac:dyDescent="0.3">
      <c r="A383" s="231">
        <v>3121</v>
      </c>
      <c r="B383" s="232" t="s">
        <v>146</v>
      </c>
      <c r="C383" s="233">
        <v>0</v>
      </c>
      <c r="D383" s="225"/>
      <c r="E383" s="225">
        <v>0</v>
      </c>
      <c r="F383" s="248"/>
      <c r="G383" s="220"/>
    </row>
    <row r="384" spans="1:7" s="13" customFormat="1" ht="13.2" x14ac:dyDescent="0.3">
      <c r="A384" s="154">
        <v>313</v>
      </c>
      <c r="B384" s="155" t="s">
        <v>165</v>
      </c>
      <c r="C384" s="156">
        <f>C385</f>
        <v>0</v>
      </c>
      <c r="D384" s="144">
        <f>D385</f>
        <v>0</v>
      </c>
      <c r="E384" s="144">
        <f>E385</f>
        <v>0</v>
      </c>
      <c r="F384" s="241"/>
      <c r="G384" s="145"/>
    </row>
    <row r="385" spans="1:7" s="221" customFormat="1" ht="13.2" x14ac:dyDescent="0.3">
      <c r="A385" s="231">
        <v>3132</v>
      </c>
      <c r="B385" s="232" t="s">
        <v>166</v>
      </c>
      <c r="C385" s="233">
        <v>0</v>
      </c>
      <c r="D385" s="225"/>
      <c r="E385" s="225">
        <v>0</v>
      </c>
      <c r="F385" s="248"/>
      <c r="G385" s="220"/>
    </row>
    <row r="386" spans="1:7" s="13" customFormat="1" ht="13.2" x14ac:dyDescent="0.3">
      <c r="A386" s="154" t="s">
        <v>50</v>
      </c>
      <c r="B386" s="155" t="s">
        <v>33</v>
      </c>
      <c r="C386" s="156">
        <f t="shared" ref="C386:E387" si="87">C387</f>
        <v>0</v>
      </c>
      <c r="D386" s="144">
        <f t="shared" si="87"/>
        <v>0</v>
      </c>
      <c r="E386" s="144">
        <f t="shared" si="87"/>
        <v>0</v>
      </c>
      <c r="F386" s="241" t="e">
        <f t="shared" si="85"/>
        <v>#DIV/0!</v>
      </c>
      <c r="G386" s="145" t="e">
        <f t="shared" si="86"/>
        <v>#DIV/0!</v>
      </c>
    </row>
    <row r="387" spans="1:7" s="13" customFormat="1" ht="13.2" x14ac:dyDescent="0.3">
      <c r="A387" s="154">
        <v>321</v>
      </c>
      <c r="B387" s="155" t="s">
        <v>150</v>
      </c>
      <c r="C387" s="156">
        <f t="shared" si="87"/>
        <v>0</v>
      </c>
      <c r="D387" s="144">
        <f t="shared" si="87"/>
        <v>0</v>
      </c>
      <c r="E387" s="144">
        <f t="shared" si="87"/>
        <v>0</v>
      </c>
      <c r="F387" s="241"/>
      <c r="G387" s="145"/>
    </row>
    <row r="388" spans="1:7" s="221" customFormat="1" ht="13.8" thickBot="1" x14ac:dyDescent="0.35">
      <c r="A388" s="234">
        <v>3212</v>
      </c>
      <c r="B388" s="235" t="s">
        <v>167</v>
      </c>
      <c r="C388" s="236">
        <v>0</v>
      </c>
      <c r="D388" s="219"/>
      <c r="E388" s="219">
        <v>0</v>
      </c>
      <c r="F388" s="246"/>
      <c r="G388" s="237"/>
    </row>
    <row r="389" spans="1:7" ht="27" thickBot="1" x14ac:dyDescent="0.35">
      <c r="A389" s="98" t="s">
        <v>334</v>
      </c>
      <c r="B389" s="19" t="s">
        <v>335</v>
      </c>
      <c r="C389" s="68">
        <f>C390+C395</f>
        <v>34299.68</v>
      </c>
      <c r="D389" s="572">
        <f>D390+D395</f>
        <v>60000</v>
      </c>
      <c r="E389" s="572">
        <f>E390+E395</f>
        <v>48903.21</v>
      </c>
      <c r="F389" s="254">
        <f t="shared" ref="F389:F392" si="88">E389/C389*100</f>
        <v>142.57628642599579</v>
      </c>
      <c r="G389" s="103">
        <f>E389/D389*100</f>
        <v>81.505349999999993</v>
      </c>
    </row>
    <row r="390" spans="1:7" x14ac:dyDescent="0.3">
      <c r="A390" s="163" t="s">
        <v>47</v>
      </c>
      <c r="B390" s="164" t="s">
        <v>48</v>
      </c>
      <c r="C390" s="165">
        <f>C391</f>
        <v>0</v>
      </c>
      <c r="D390" s="139">
        <f t="shared" ref="D390" si="89">D391</f>
        <v>0</v>
      </c>
      <c r="E390" s="139">
        <f>E391</f>
        <v>0</v>
      </c>
      <c r="F390" s="245" t="e">
        <f t="shared" si="88"/>
        <v>#DIV/0!</v>
      </c>
      <c r="G390" s="140" t="e">
        <f>E390/D390*100</f>
        <v>#DIV/0!</v>
      </c>
    </row>
    <row r="391" spans="1:7" x14ac:dyDescent="0.3">
      <c r="A391" s="154" t="s">
        <v>49</v>
      </c>
      <c r="B391" s="155" t="s">
        <v>20</v>
      </c>
      <c r="C391" s="156">
        <f>C392</f>
        <v>0</v>
      </c>
      <c r="D391" s="144">
        <f>D392</f>
        <v>0</v>
      </c>
      <c r="E391" s="144">
        <f>E392</f>
        <v>0</v>
      </c>
      <c r="F391" s="241" t="e">
        <f t="shared" si="88"/>
        <v>#DIV/0!</v>
      </c>
      <c r="G391" s="145" t="e">
        <f>E391/D391*100</f>
        <v>#DIV/0!</v>
      </c>
    </row>
    <row r="392" spans="1:7" x14ac:dyDescent="0.3">
      <c r="A392" s="154">
        <v>32</v>
      </c>
      <c r="B392" s="155" t="s">
        <v>33</v>
      </c>
      <c r="C392" s="156">
        <f>C393</f>
        <v>0</v>
      </c>
      <c r="D392" s="144">
        <f>D393</f>
        <v>0</v>
      </c>
      <c r="E392" s="144">
        <f>E393</f>
        <v>0</v>
      </c>
      <c r="F392" s="241" t="e">
        <f t="shared" si="88"/>
        <v>#DIV/0!</v>
      </c>
      <c r="G392" s="145" t="e">
        <f>E392/D392*100</f>
        <v>#DIV/0!</v>
      </c>
    </row>
    <row r="393" spans="1:7" x14ac:dyDescent="0.3">
      <c r="A393" s="154">
        <v>329</v>
      </c>
      <c r="B393" s="155" t="s">
        <v>138</v>
      </c>
      <c r="C393" s="156">
        <f>C394</f>
        <v>0</v>
      </c>
      <c r="D393" s="144">
        <f>D394</f>
        <v>0</v>
      </c>
      <c r="E393" s="144">
        <f>SUM(E394:E394)</f>
        <v>0</v>
      </c>
      <c r="F393" s="241"/>
      <c r="G393" s="145"/>
    </row>
    <row r="394" spans="1:7" ht="15" thickBot="1" x14ac:dyDescent="0.35">
      <c r="A394" s="231">
        <v>3299</v>
      </c>
      <c r="B394" s="232" t="s">
        <v>138</v>
      </c>
      <c r="C394" s="233">
        <v>0</v>
      </c>
      <c r="D394" s="225">
        <v>0</v>
      </c>
      <c r="E394" s="225">
        <v>0</v>
      </c>
      <c r="F394" s="248"/>
      <c r="G394" s="220"/>
    </row>
    <row r="395" spans="1:7" x14ac:dyDescent="0.3">
      <c r="A395" s="151" t="s">
        <v>322</v>
      </c>
      <c r="B395" s="152" t="s">
        <v>60</v>
      </c>
      <c r="C395" s="139">
        <f>C396+C416</f>
        <v>34299.68</v>
      </c>
      <c r="D395" s="139">
        <f>D396+D416</f>
        <v>60000</v>
      </c>
      <c r="E395" s="139">
        <f>E396+E416</f>
        <v>48903.21</v>
      </c>
      <c r="F395" s="245">
        <f t="shared" ref="F395:F419" si="90">E395/C395*100</f>
        <v>142.57628642599579</v>
      </c>
      <c r="G395" s="140">
        <f>E395/D395*100</f>
        <v>81.505349999999993</v>
      </c>
    </row>
    <row r="396" spans="1:7" x14ac:dyDescent="0.3">
      <c r="A396" s="154" t="s">
        <v>49</v>
      </c>
      <c r="B396" s="155" t="s">
        <v>20</v>
      </c>
      <c r="C396" s="156">
        <f>C397+C413</f>
        <v>32097.08</v>
      </c>
      <c r="D396" s="156">
        <f t="shared" ref="D396:E396" si="91">D397+D413</f>
        <v>57000</v>
      </c>
      <c r="E396" s="156">
        <f t="shared" si="91"/>
        <v>48903.21</v>
      </c>
      <c r="F396" s="241">
        <f t="shared" si="90"/>
        <v>152.3603081651041</v>
      </c>
      <c r="G396" s="145">
        <f>E396/D396*100</f>
        <v>85.795105263157893</v>
      </c>
    </row>
    <row r="397" spans="1:7" x14ac:dyDescent="0.3">
      <c r="A397" s="154">
        <v>32</v>
      </c>
      <c r="B397" s="155" t="s">
        <v>33</v>
      </c>
      <c r="C397" s="156">
        <f>C398+C401+C404+C408</f>
        <v>32075.9</v>
      </c>
      <c r="D397" s="144">
        <f>D398+D401+D404+D408</f>
        <v>57000</v>
      </c>
      <c r="E397" s="144">
        <f>E398+E401+E404+E408</f>
        <v>48903.21</v>
      </c>
      <c r="F397" s="241">
        <f t="shared" si="90"/>
        <v>152.4609130219261</v>
      </c>
      <c r="G397" s="145">
        <f>E397/D397*100</f>
        <v>85.795105263157893</v>
      </c>
    </row>
    <row r="398" spans="1:7" x14ac:dyDescent="0.3">
      <c r="A398" s="154">
        <v>321</v>
      </c>
      <c r="B398" s="155" t="s">
        <v>150</v>
      </c>
      <c r="C398" s="144">
        <f>C399+C400</f>
        <v>15943.36</v>
      </c>
      <c r="D398" s="144">
        <f>D399+D400</f>
        <v>37900</v>
      </c>
      <c r="E398" s="144">
        <f>E399+E400</f>
        <v>34603.519999999997</v>
      </c>
      <c r="F398" s="241">
        <f t="shared" si="90"/>
        <v>217.04032274250844</v>
      </c>
      <c r="G398" s="145">
        <f t="shared" ref="G398:G419" si="92">E398/D398*100</f>
        <v>91.302163588390499</v>
      </c>
    </row>
    <row r="399" spans="1:7" x14ac:dyDescent="0.3">
      <c r="A399" s="231">
        <v>3211</v>
      </c>
      <c r="B399" s="232" t="s">
        <v>124</v>
      </c>
      <c r="C399" s="233">
        <v>10546.1</v>
      </c>
      <c r="D399" s="225">
        <v>17900</v>
      </c>
      <c r="E399" s="225">
        <v>26464.28</v>
      </c>
      <c r="F399" s="241">
        <f t="shared" si="90"/>
        <v>250.93902011170007</v>
      </c>
      <c r="G399" s="145">
        <f t="shared" si="92"/>
        <v>147.84513966480446</v>
      </c>
    </row>
    <row r="400" spans="1:7" x14ac:dyDescent="0.3">
      <c r="A400" s="573">
        <v>3213</v>
      </c>
      <c r="B400" s="232" t="s">
        <v>125</v>
      </c>
      <c r="C400" s="233">
        <v>5397.26</v>
      </c>
      <c r="D400" s="225">
        <v>20000</v>
      </c>
      <c r="E400" s="225">
        <v>8139.24</v>
      </c>
      <c r="F400" s="241">
        <f t="shared" si="90"/>
        <v>150.80318531995863</v>
      </c>
      <c r="G400" s="145">
        <f t="shared" si="92"/>
        <v>40.696199999999997</v>
      </c>
    </row>
    <row r="401" spans="1:7" x14ac:dyDescent="0.3">
      <c r="A401" s="574">
        <v>322</v>
      </c>
      <c r="B401" s="575" t="s">
        <v>151</v>
      </c>
      <c r="C401" s="576">
        <f>C402+C403</f>
        <v>7256.7</v>
      </c>
      <c r="D401" s="576">
        <f>D402+D403</f>
        <v>6000</v>
      </c>
      <c r="E401" s="577">
        <f>E402+E403</f>
        <v>1213.22</v>
      </c>
      <c r="F401" s="241">
        <f t="shared" si="90"/>
        <v>16.718618655862858</v>
      </c>
      <c r="G401" s="145">
        <f t="shared" si="92"/>
        <v>20.220333333333336</v>
      </c>
    </row>
    <row r="402" spans="1:7" x14ac:dyDescent="0.3">
      <c r="A402" s="578">
        <v>3221</v>
      </c>
      <c r="B402" s="579" t="s">
        <v>126</v>
      </c>
      <c r="C402" s="580">
        <v>0</v>
      </c>
      <c r="D402" s="580">
        <v>1000</v>
      </c>
      <c r="E402" s="581">
        <v>83.44</v>
      </c>
      <c r="F402" s="241" t="e">
        <f t="shared" si="90"/>
        <v>#DIV/0!</v>
      </c>
      <c r="G402" s="145">
        <f t="shared" si="92"/>
        <v>8.3439999999999994</v>
      </c>
    </row>
    <row r="403" spans="1:7" x14ac:dyDescent="0.3">
      <c r="A403" s="578">
        <v>3225</v>
      </c>
      <c r="B403" s="579" t="s">
        <v>336</v>
      </c>
      <c r="C403" s="580">
        <v>7256.7</v>
      </c>
      <c r="D403" s="580">
        <v>5000</v>
      </c>
      <c r="E403" s="581">
        <v>1129.78</v>
      </c>
      <c r="F403" s="241">
        <f t="shared" si="90"/>
        <v>15.568784709303127</v>
      </c>
      <c r="G403" s="145">
        <f t="shared" si="92"/>
        <v>22.595599999999997</v>
      </c>
    </row>
    <row r="404" spans="1:7" x14ac:dyDescent="0.3">
      <c r="A404" s="574">
        <v>323</v>
      </c>
      <c r="B404" s="575" t="s">
        <v>152</v>
      </c>
      <c r="C404" s="576">
        <f>C405+C406+C407</f>
        <v>4000</v>
      </c>
      <c r="D404" s="576">
        <f t="shared" ref="D404:E404" si="93">D405+D406+D407</f>
        <v>6500</v>
      </c>
      <c r="E404" s="576">
        <f t="shared" si="93"/>
        <v>2227.7199999999998</v>
      </c>
      <c r="F404" s="241">
        <f t="shared" si="90"/>
        <v>55.692999999999991</v>
      </c>
      <c r="G404" s="145">
        <f t="shared" si="92"/>
        <v>34.272615384615378</v>
      </c>
    </row>
    <row r="405" spans="1:7" x14ac:dyDescent="0.3">
      <c r="A405" s="578">
        <v>3231</v>
      </c>
      <c r="B405" s="579" t="s">
        <v>129</v>
      </c>
      <c r="C405" s="580">
        <v>4000</v>
      </c>
      <c r="D405" s="580">
        <v>5000</v>
      </c>
      <c r="E405" s="581">
        <v>2227.7199999999998</v>
      </c>
      <c r="F405" s="248"/>
      <c r="G405" s="220"/>
    </row>
    <row r="406" spans="1:7" x14ac:dyDescent="0.3">
      <c r="A406" s="578">
        <v>3237</v>
      </c>
      <c r="B406" s="579" t="s">
        <v>132</v>
      </c>
      <c r="C406" s="580">
        <v>0</v>
      </c>
      <c r="D406" s="580">
        <v>500</v>
      </c>
      <c r="E406" s="581">
        <v>0</v>
      </c>
      <c r="F406" s="241" t="e">
        <f t="shared" si="90"/>
        <v>#DIV/0!</v>
      </c>
      <c r="G406" s="145">
        <f t="shared" si="92"/>
        <v>0</v>
      </c>
    </row>
    <row r="407" spans="1:7" x14ac:dyDescent="0.3">
      <c r="A407" s="578">
        <v>3239</v>
      </c>
      <c r="B407" s="579" t="s">
        <v>134</v>
      </c>
      <c r="C407" s="580">
        <v>0</v>
      </c>
      <c r="D407" s="580">
        <v>1000</v>
      </c>
      <c r="E407" s="581">
        <v>0</v>
      </c>
      <c r="F407" s="241" t="e">
        <f t="shared" si="90"/>
        <v>#DIV/0!</v>
      </c>
      <c r="G407" s="145">
        <f t="shared" si="92"/>
        <v>0</v>
      </c>
    </row>
    <row r="408" spans="1:7" x14ac:dyDescent="0.3">
      <c r="A408" s="574">
        <v>329</v>
      </c>
      <c r="B408" s="575" t="s">
        <v>138</v>
      </c>
      <c r="C408" s="576">
        <f>C409+C410+C411+C412</f>
        <v>4875.84</v>
      </c>
      <c r="D408" s="576">
        <f>D409+D410+D411+D412</f>
        <v>6600</v>
      </c>
      <c r="E408" s="576">
        <f>E409+E410+E411+E412</f>
        <v>10858.75</v>
      </c>
      <c r="F408" s="241">
        <f t="shared" si="90"/>
        <v>222.70521592176937</v>
      </c>
      <c r="G408" s="145">
        <f t="shared" si="92"/>
        <v>164.52651515151516</v>
      </c>
    </row>
    <row r="409" spans="1:7" x14ac:dyDescent="0.3">
      <c r="A409" s="578">
        <v>3292</v>
      </c>
      <c r="B409" s="579" t="s">
        <v>135</v>
      </c>
      <c r="C409" s="580">
        <v>305.44</v>
      </c>
      <c r="D409" s="580">
        <v>500</v>
      </c>
      <c r="E409" s="581">
        <v>393.26</v>
      </c>
      <c r="F409" s="241">
        <f t="shared" si="90"/>
        <v>128.75196437925615</v>
      </c>
      <c r="G409" s="145">
        <f t="shared" si="92"/>
        <v>78.652000000000001</v>
      </c>
    </row>
    <row r="410" spans="1:7" x14ac:dyDescent="0.3">
      <c r="A410" s="578">
        <v>3293</v>
      </c>
      <c r="B410" s="579" t="s">
        <v>136</v>
      </c>
      <c r="C410" s="580">
        <v>1551.76</v>
      </c>
      <c r="D410" s="580">
        <v>1000</v>
      </c>
      <c r="E410" s="581">
        <v>523.52</v>
      </c>
      <c r="F410" s="241">
        <f t="shared" si="90"/>
        <v>33.737175851935866</v>
      </c>
      <c r="G410" s="145">
        <f t="shared" si="92"/>
        <v>52.351999999999997</v>
      </c>
    </row>
    <row r="411" spans="1:7" x14ac:dyDescent="0.3">
      <c r="A411" s="578">
        <v>3295</v>
      </c>
      <c r="B411" s="579" t="s">
        <v>137</v>
      </c>
      <c r="C411" s="580">
        <v>52.95</v>
      </c>
      <c r="D411" s="580">
        <v>100</v>
      </c>
      <c r="E411" s="581">
        <v>194.26</v>
      </c>
      <c r="F411" s="241">
        <f t="shared" si="90"/>
        <v>366.87440982058541</v>
      </c>
      <c r="G411" s="145">
        <f t="shared" si="92"/>
        <v>194.26</v>
      </c>
    </row>
    <row r="412" spans="1:7" x14ac:dyDescent="0.3">
      <c r="A412" s="578">
        <v>3299</v>
      </c>
      <c r="B412" s="579" t="s">
        <v>138</v>
      </c>
      <c r="C412" s="580">
        <v>2965.69</v>
      </c>
      <c r="D412" s="580">
        <v>5000</v>
      </c>
      <c r="E412" s="581">
        <v>9747.7099999999991</v>
      </c>
      <c r="F412" s="241">
        <f t="shared" si="90"/>
        <v>328.68270115892085</v>
      </c>
      <c r="G412" s="145">
        <f t="shared" si="92"/>
        <v>194.95419999999999</v>
      </c>
    </row>
    <row r="413" spans="1:7" x14ac:dyDescent="0.3">
      <c r="A413" s="582">
        <v>34</v>
      </c>
      <c r="B413" s="575" t="s">
        <v>57</v>
      </c>
      <c r="C413" s="583">
        <f t="shared" ref="C413:E414" si="94">C414</f>
        <v>21.18</v>
      </c>
      <c r="D413" s="583">
        <f t="shared" si="94"/>
        <v>0</v>
      </c>
      <c r="E413" s="583">
        <f t="shared" si="94"/>
        <v>0</v>
      </c>
      <c r="F413" s="241">
        <f t="shared" si="90"/>
        <v>0</v>
      </c>
      <c r="G413" s="145" t="e">
        <f t="shared" si="92"/>
        <v>#DIV/0!</v>
      </c>
    </row>
    <row r="414" spans="1:7" x14ac:dyDescent="0.3">
      <c r="A414" s="582">
        <v>343</v>
      </c>
      <c r="B414" s="575" t="s">
        <v>159</v>
      </c>
      <c r="C414" s="583">
        <f t="shared" si="94"/>
        <v>21.18</v>
      </c>
      <c r="D414" s="583">
        <f t="shared" si="94"/>
        <v>0</v>
      </c>
      <c r="E414" s="583">
        <f t="shared" si="94"/>
        <v>0</v>
      </c>
      <c r="F414" s="241">
        <f t="shared" si="90"/>
        <v>0</v>
      </c>
      <c r="G414" s="145" t="e">
        <f t="shared" si="92"/>
        <v>#DIV/0!</v>
      </c>
    </row>
    <row r="415" spans="1:7" x14ac:dyDescent="0.3">
      <c r="A415" s="584">
        <v>3431</v>
      </c>
      <c r="B415" s="579" t="s">
        <v>139</v>
      </c>
      <c r="C415" s="585">
        <v>21.18</v>
      </c>
      <c r="D415" s="585">
        <v>0</v>
      </c>
      <c r="E415" s="585">
        <v>0</v>
      </c>
      <c r="F415" s="241">
        <f t="shared" si="90"/>
        <v>0</v>
      </c>
      <c r="G415" s="145" t="e">
        <f t="shared" si="92"/>
        <v>#DIV/0!</v>
      </c>
    </row>
    <row r="416" spans="1:7" x14ac:dyDescent="0.3">
      <c r="A416" s="582">
        <v>4</v>
      </c>
      <c r="B416" s="586" t="s">
        <v>22</v>
      </c>
      <c r="C416" s="583">
        <f t="shared" ref="C416:E418" si="95">C417</f>
        <v>2202.6</v>
      </c>
      <c r="D416" s="583">
        <f t="shared" si="95"/>
        <v>3000</v>
      </c>
      <c r="E416" s="583">
        <f t="shared" si="95"/>
        <v>0</v>
      </c>
      <c r="F416" s="241">
        <f t="shared" si="90"/>
        <v>0</v>
      </c>
      <c r="G416" s="145">
        <f t="shared" si="92"/>
        <v>0</v>
      </c>
    </row>
    <row r="417" spans="1:7" x14ac:dyDescent="0.3">
      <c r="A417" s="582">
        <v>42</v>
      </c>
      <c r="B417" s="586" t="s">
        <v>40</v>
      </c>
      <c r="C417" s="583">
        <f t="shared" si="95"/>
        <v>2202.6</v>
      </c>
      <c r="D417" s="583">
        <f t="shared" si="95"/>
        <v>3000</v>
      </c>
      <c r="E417" s="583">
        <f>E418</f>
        <v>0</v>
      </c>
      <c r="F417" s="241">
        <f t="shared" si="90"/>
        <v>0</v>
      </c>
      <c r="G417" s="145">
        <f t="shared" si="92"/>
        <v>0</v>
      </c>
    </row>
    <row r="418" spans="1:7" x14ac:dyDescent="0.3">
      <c r="A418" s="582">
        <v>422</v>
      </c>
      <c r="B418" s="586" t="s">
        <v>153</v>
      </c>
      <c r="C418" s="583">
        <f t="shared" si="95"/>
        <v>2202.6</v>
      </c>
      <c r="D418" s="583">
        <f t="shared" si="95"/>
        <v>3000</v>
      </c>
      <c r="E418" s="583">
        <f>E419</f>
        <v>0</v>
      </c>
      <c r="F418" s="241">
        <f t="shared" si="90"/>
        <v>0</v>
      </c>
      <c r="G418" s="145">
        <f t="shared" si="92"/>
        <v>0</v>
      </c>
    </row>
    <row r="419" spans="1:7" x14ac:dyDescent="0.3">
      <c r="A419" s="584">
        <v>4221</v>
      </c>
      <c r="B419" s="587" t="s">
        <v>157</v>
      </c>
      <c r="C419" s="585">
        <v>2202.6</v>
      </c>
      <c r="D419" s="585">
        <v>3000</v>
      </c>
      <c r="E419" s="585">
        <v>0</v>
      </c>
      <c r="F419" s="241">
        <f t="shared" si="90"/>
        <v>0</v>
      </c>
      <c r="G419" s="145">
        <f t="shared" si="92"/>
        <v>0</v>
      </c>
    </row>
  </sheetData>
  <autoFilter ref="A18:U388" xr:uid="{676CD0AD-914A-4BE4-94FA-5343D4D5F98D}"/>
  <mergeCells count="9">
    <mergeCell ref="A15:G15"/>
    <mergeCell ref="A13:G13"/>
    <mergeCell ref="A5:C5"/>
    <mergeCell ref="A6:C6"/>
    <mergeCell ref="A7:C7"/>
    <mergeCell ref="A8:C8"/>
    <mergeCell ref="A9:C9"/>
    <mergeCell ref="A10:C10"/>
    <mergeCell ref="A11:C1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rowBreaks count="4" manualBreakCount="4">
    <brk id="62" max="6" man="1"/>
    <brk id="146" max="5" man="1"/>
    <brk id="223" max="6" man="1"/>
    <brk id="298" max="5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441960</xdr:colOff>
                <xdr:row>0</xdr:row>
                <xdr:rowOff>76200</xdr:rowOff>
              </from>
              <to>
                <xdr:col>0</xdr:col>
                <xdr:colOff>861060</xdr:colOff>
                <xdr:row>3</xdr:row>
                <xdr:rowOff>99060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3A6-0767-4438-A7F3-054EFAFC527D}">
  <sheetPr>
    <pageSetUpPr fitToPage="1"/>
  </sheetPr>
  <dimension ref="A1:S278"/>
  <sheetViews>
    <sheetView topLeftCell="A240" zoomScale="85" zoomScaleNormal="85" workbookViewId="0">
      <selection activeCell="G275" sqref="G275"/>
    </sheetView>
  </sheetViews>
  <sheetFormatPr defaultColWidth="9.109375" defaultRowHeight="15.6" x14ac:dyDescent="0.3"/>
  <cols>
    <col min="1" max="1" width="10" style="256" customWidth="1"/>
    <col min="2" max="2" width="44.6640625" style="256" customWidth="1"/>
    <col min="3" max="3" width="17.109375" style="256" hidden="1" customWidth="1"/>
    <col min="4" max="4" width="18.44140625" style="256" hidden="1" customWidth="1"/>
    <col min="5" max="5" width="17.88671875" style="342" customWidth="1"/>
    <col min="6" max="7" width="17.88671875" style="343" customWidth="1"/>
    <col min="8" max="8" width="10.6640625" style="343" customWidth="1"/>
    <col min="9" max="9" width="14.44140625" style="343" customWidth="1"/>
    <col min="10" max="10" width="15.109375" style="388" customWidth="1"/>
    <col min="11" max="16" width="15.109375" style="256" customWidth="1"/>
    <col min="17" max="17" width="16.6640625" style="256" hidden="1" customWidth="1"/>
    <col min="18" max="18" width="16.44140625" style="256" hidden="1" customWidth="1"/>
    <col min="19" max="19" width="12.5546875" style="256" hidden="1" customWidth="1"/>
    <col min="20" max="20" width="15.109375" style="256" customWidth="1"/>
    <col min="21" max="16384" width="9.109375" style="256"/>
  </cols>
  <sheetData>
    <row r="1" spans="1:11" ht="46.5" hidden="1" customHeight="1" x14ac:dyDescent="0.3">
      <c r="A1" s="660" t="s">
        <v>197</v>
      </c>
      <c r="B1" s="660"/>
      <c r="C1" s="660"/>
      <c r="D1" s="660"/>
      <c r="E1" s="660"/>
      <c r="F1" s="660"/>
      <c r="G1" s="660"/>
      <c r="H1" s="256"/>
      <c r="I1" s="256"/>
      <c r="J1" s="387"/>
      <c r="K1" s="255"/>
    </row>
    <row r="2" spans="1:11" ht="15.6" hidden="1" customHeight="1" x14ac:dyDescent="0.3">
      <c r="A2" s="257"/>
      <c r="B2" s="257"/>
      <c r="C2" s="257"/>
      <c r="D2" s="257"/>
      <c r="E2" s="341"/>
      <c r="F2" s="341"/>
      <c r="G2" s="341"/>
      <c r="H2" s="341"/>
      <c r="I2" s="341"/>
    </row>
    <row r="3" spans="1:11" ht="18.75" hidden="1" customHeight="1" x14ac:dyDescent="0.3">
      <c r="A3" s="654" t="s">
        <v>198</v>
      </c>
      <c r="B3" s="654"/>
      <c r="C3" s="654"/>
      <c r="D3" s="654"/>
      <c r="E3" s="654"/>
      <c r="F3" s="654"/>
      <c r="G3" s="654"/>
      <c r="H3" s="256"/>
      <c r="I3" s="256"/>
      <c r="J3" s="389"/>
      <c r="K3" s="257"/>
    </row>
    <row r="4" spans="1:11" s="260" customFormat="1" ht="15.6" hidden="1" customHeight="1" x14ac:dyDescent="0.3">
      <c r="A4" s="258" t="s">
        <v>199</v>
      </c>
      <c r="B4" s="259"/>
      <c r="C4" s="259"/>
      <c r="D4" s="259"/>
      <c r="E4" s="342"/>
      <c r="F4" s="343"/>
      <c r="G4" s="343"/>
      <c r="H4" s="343"/>
      <c r="I4" s="343"/>
      <c r="J4" s="390"/>
    </row>
    <row r="5" spans="1:11" ht="33" hidden="1" customHeight="1" x14ac:dyDescent="0.3">
      <c r="A5" s="630" t="s">
        <v>200</v>
      </c>
      <c r="B5" s="632" t="s">
        <v>201</v>
      </c>
      <c r="C5" s="261"/>
      <c r="D5" s="261"/>
      <c r="E5" s="617" t="s">
        <v>202</v>
      </c>
      <c r="F5" s="617" t="s">
        <v>203</v>
      </c>
      <c r="G5" s="617" t="s">
        <v>204</v>
      </c>
      <c r="H5" s="617"/>
      <c r="I5" s="617"/>
    </row>
    <row r="6" spans="1:11" ht="33" hidden="1" customHeight="1" x14ac:dyDescent="0.3">
      <c r="A6" s="631"/>
      <c r="B6" s="633"/>
      <c r="C6" s="262"/>
      <c r="D6" s="262"/>
      <c r="E6" s="618"/>
      <c r="F6" s="618"/>
      <c r="G6" s="618"/>
      <c r="H6" s="618"/>
      <c r="I6" s="618"/>
    </row>
    <row r="7" spans="1:11" ht="33" hidden="1" customHeight="1" x14ac:dyDescent="0.3">
      <c r="A7" s="263">
        <v>67</v>
      </c>
      <c r="B7" s="264" t="s">
        <v>39</v>
      </c>
      <c r="C7" s="264"/>
      <c r="D7" s="264"/>
      <c r="E7" s="344">
        <f>SUM(E8:E9)</f>
        <v>21004501</v>
      </c>
      <c r="F7" s="344">
        <f>SUM(F8:F9)</f>
        <v>14243113</v>
      </c>
      <c r="G7" s="345">
        <f>SUM(G8:G9)</f>
        <v>14243113</v>
      </c>
      <c r="H7" s="345"/>
      <c r="I7" s="345"/>
    </row>
    <row r="8" spans="1:11" ht="33" hidden="1" customHeight="1" x14ac:dyDescent="0.3">
      <c r="A8" s="267">
        <v>671</v>
      </c>
      <c r="B8" s="268" t="s">
        <v>205</v>
      </c>
      <c r="C8" s="268"/>
      <c r="D8" s="268"/>
      <c r="E8" s="346">
        <v>4243113</v>
      </c>
      <c r="F8" s="346">
        <v>4243113</v>
      </c>
      <c r="G8" s="347">
        <v>4243113</v>
      </c>
      <c r="H8" s="347"/>
      <c r="I8" s="347"/>
    </row>
    <row r="9" spans="1:11" ht="46.95" hidden="1" customHeight="1" x14ac:dyDescent="0.3">
      <c r="A9" s="269">
        <v>671</v>
      </c>
      <c r="B9" s="270" t="s">
        <v>206</v>
      </c>
      <c r="C9" s="270"/>
      <c r="D9" s="270"/>
      <c r="E9" s="348">
        <v>16761388</v>
      </c>
      <c r="F9" s="348">
        <v>10000000</v>
      </c>
      <c r="G9" s="349">
        <v>10000000</v>
      </c>
      <c r="H9" s="349"/>
      <c r="I9" s="349"/>
    </row>
    <row r="10" spans="1:11" ht="15.6" hidden="1" customHeight="1" x14ac:dyDescent="0.3">
      <c r="A10" s="658" t="s">
        <v>207</v>
      </c>
      <c r="B10" s="659"/>
      <c r="C10" s="271"/>
      <c r="D10" s="271"/>
      <c r="E10" s="350">
        <f>SUM(E7)</f>
        <v>21004501</v>
      </c>
      <c r="F10" s="350">
        <f>SUM(F7)</f>
        <v>14243113</v>
      </c>
      <c r="G10" s="350">
        <f>SUM(G7)</f>
        <v>14243113</v>
      </c>
      <c r="H10" s="350"/>
      <c r="I10" s="350"/>
    </row>
    <row r="11" spans="1:11" ht="15.6" hidden="1" customHeight="1" x14ac:dyDescent="0.3">
      <c r="A11" s="273"/>
      <c r="B11" s="273"/>
      <c r="C11" s="273"/>
      <c r="D11" s="273"/>
      <c r="E11" s="351"/>
      <c r="F11" s="351"/>
      <c r="G11" s="351"/>
      <c r="H11" s="351"/>
      <c r="I11" s="351"/>
    </row>
    <row r="12" spans="1:11" ht="18" hidden="1" customHeight="1" x14ac:dyDescent="0.3">
      <c r="A12" s="258" t="s">
        <v>208</v>
      </c>
      <c r="B12" s="260"/>
      <c r="C12" s="260"/>
      <c r="D12" s="260"/>
    </row>
    <row r="13" spans="1:11" ht="33" hidden="1" customHeight="1" x14ac:dyDescent="0.3">
      <c r="A13" s="630" t="s">
        <v>200</v>
      </c>
      <c r="B13" s="632" t="s">
        <v>201</v>
      </c>
      <c r="C13" s="261"/>
      <c r="D13" s="261"/>
      <c r="E13" s="617" t="s">
        <v>202</v>
      </c>
      <c r="F13" s="617" t="s">
        <v>203</v>
      </c>
      <c r="G13" s="617" t="s">
        <v>204</v>
      </c>
      <c r="H13" s="617"/>
      <c r="I13" s="617"/>
    </row>
    <row r="14" spans="1:11" ht="33" hidden="1" customHeight="1" x14ac:dyDescent="0.3">
      <c r="A14" s="631"/>
      <c r="B14" s="633"/>
      <c r="C14" s="262"/>
      <c r="D14" s="262"/>
      <c r="E14" s="618"/>
      <c r="F14" s="618"/>
      <c r="G14" s="618"/>
      <c r="H14" s="618"/>
      <c r="I14" s="618"/>
    </row>
    <row r="15" spans="1:11" ht="15.6" hidden="1" customHeight="1" x14ac:dyDescent="0.3">
      <c r="A15" s="263">
        <v>64</v>
      </c>
      <c r="B15" s="264" t="s">
        <v>89</v>
      </c>
      <c r="C15" s="264"/>
      <c r="D15" s="264"/>
      <c r="E15" s="344">
        <f>SUM(E16)</f>
        <v>5000</v>
      </c>
      <c r="F15" s="344">
        <f>SUM(F16)</f>
        <v>100000</v>
      </c>
      <c r="G15" s="345">
        <f>SUM(G16)</f>
        <v>100000</v>
      </c>
      <c r="H15" s="345"/>
      <c r="I15" s="345"/>
    </row>
    <row r="16" spans="1:11" ht="15.6" hidden="1" customHeight="1" x14ac:dyDescent="0.3">
      <c r="A16" s="267">
        <v>641</v>
      </c>
      <c r="B16" s="268" t="s">
        <v>179</v>
      </c>
      <c r="C16" s="268"/>
      <c r="D16" s="268"/>
      <c r="E16" s="346">
        <v>5000</v>
      </c>
      <c r="F16" s="346">
        <v>100000</v>
      </c>
      <c r="G16" s="347">
        <v>100000</v>
      </c>
      <c r="H16" s="347"/>
      <c r="I16" s="347"/>
    </row>
    <row r="17" spans="1:18" ht="31.2" hidden="1" customHeight="1" x14ac:dyDescent="0.3">
      <c r="A17" s="275">
        <v>66</v>
      </c>
      <c r="B17" s="276" t="s">
        <v>94</v>
      </c>
      <c r="C17" s="276"/>
      <c r="D17" s="276"/>
      <c r="E17" s="352">
        <f>SUM(E18:E18)</f>
        <v>2595000</v>
      </c>
      <c r="F17" s="352">
        <f>SUM(F18:F18)</f>
        <v>2500000</v>
      </c>
      <c r="G17" s="353">
        <f>SUM(G18:G18)</f>
        <v>2500000</v>
      </c>
      <c r="H17" s="353"/>
      <c r="I17" s="353"/>
    </row>
    <row r="18" spans="1:18" ht="31.2" hidden="1" customHeight="1" x14ac:dyDescent="0.3">
      <c r="A18" s="269">
        <v>661</v>
      </c>
      <c r="B18" s="270" t="s">
        <v>182</v>
      </c>
      <c r="C18" s="270"/>
      <c r="D18" s="270"/>
      <c r="E18" s="348">
        <v>2595000</v>
      </c>
      <c r="F18" s="348">
        <v>2500000</v>
      </c>
      <c r="G18" s="349">
        <v>2500000</v>
      </c>
      <c r="H18" s="349"/>
      <c r="I18" s="349"/>
    </row>
    <row r="19" spans="1:18" ht="15.6" hidden="1" customHeight="1" x14ac:dyDescent="0.3">
      <c r="A19" s="658" t="s">
        <v>209</v>
      </c>
      <c r="B19" s="659"/>
      <c r="C19" s="271"/>
      <c r="D19" s="271"/>
      <c r="E19" s="350">
        <f>SUM(E15,E17)</f>
        <v>2600000</v>
      </c>
      <c r="F19" s="350">
        <f>SUM(F15,F17)</f>
        <v>2600000</v>
      </c>
      <c r="G19" s="350">
        <f>SUM(G15,G17)</f>
        <v>2600000</v>
      </c>
      <c r="H19" s="350"/>
      <c r="I19" s="350"/>
    </row>
    <row r="20" spans="1:18" ht="9.75" hidden="1" customHeight="1" x14ac:dyDescent="0.3"/>
    <row r="21" spans="1:18" ht="18.75" hidden="1" customHeight="1" x14ac:dyDescent="0.3">
      <c r="A21" s="258" t="s">
        <v>210</v>
      </c>
      <c r="B21" s="260"/>
      <c r="C21" s="260"/>
      <c r="D21" s="260"/>
    </row>
    <row r="22" spans="1:18" ht="33" hidden="1" customHeight="1" x14ac:dyDescent="0.3">
      <c r="A22" s="630" t="s">
        <v>200</v>
      </c>
      <c r="B22" s="632" t="s">
        <v>201</v>
      </c>
      <c r="C22" s="261"/>
      <c r="D22" s="261"/>
      <c r="E22" s="617" t="s">
        <v>202</v>
      </c>
      <c r="F22" s="617" t="s">
        <v>203</v>
      </c>
      <c r="G22" s="617" t="s">
        <v>204</v>
      </c>
      <c r="H22" s="617"/>
      <c r="I22" s="617"/>
    </row>
    <row r="23" spans="1:18" ht="15.6" hidden="1" customHeight="1" x14ac:dyDescent="0.3">
      <c r="A23" s="631"/>
      <c r="B23" s="633"/>
      <c r="C23" s="262"/>
      <c r="D23" s="262"/>
      <c r="E23" s="618"/>
      <c r="F23" s="618"/>
      <c r="G23" s="618"/>
      <c r="H23" s="618"/>
      <c r="I23" s="618"/>
    </row>
    <row r="24" spans="1:18" ht="15.6" hidden="1" customHeight="1" x14ac:dyDescent="0.3">
      <c r="A24" s="263">
        <v>652</v>
      </c>
      <c r="B24" s="264" t="s">
        <v>180</v>
      </c>
      <c r="C24" s="264"/>
      <c r="D24" s="264"/>
      <c r="E24" s="344">
        <f>SUM(E25:E25)</f>
        <v>15000000</v>
      </c>
      <c r="F24" s="344">
        <f>SUM(F25:F25)</f>
        <v>15000000</v>
      </c>
      <c r="G24" s="345">
        <f>SUM(G25:G25)</f>
        <v>15000000</v>
      </c>
      <c r="H24" s="345"/>
      <c r="I24" s="345"/>
    </row>
    <row r="25" spans="1:18" ht="15.6" hidden="1" customHeight="1" x14ac:dyDescent="0.3">
      <c r="A25" s="267">
        <v>6526</v>
      </c>
      <c r="B25" s="268" t="s">
        <v>181</v>
      </c>
      <c r="C25" s="268"/>
      <c r="D25" s="268"/>
      <c r="E25" s="346">
        <v>15000000</v>
      </c>
      <c r="F25" s="346">
        <v>15000000</v>
      </c>
      <c r="G25" s="347">
        <v>15000000</v>
      </c>
      <c r="H25" s="347"/>
      <c r="I25" s="347"/>
    </row>
    <row r="26" spans="1:18" ht="32.25" hidden="1" customHeight="1" x14ac:dyDescent="0.3">
      <c r="A26" s="275">
        <v>673</v>
      </c>
      <c r="B26" s="276" t="s">
        <v>211</v>
      </c>
      <c r="C26" s="276"/>
      <c r="D26" s="276"/>
      <c r="E26" s="352">
        <f>SUM(E27:E27)</f>
        <v>118878715</v>
      </c>
      <c r="F26" s="352">
        <f>SUM(F27:F27)</f>
        <v>118103420</v>
      </c>
      <c r="G26" s="353">
        <f>SUM(G27:G27)</f>
        <v>118093420</v>
      </c>
      <c r="H26" s="353"/>
      <c r="I26" s="353"/>
    </row>
    <row r="27" spans="1:18" ht="30.75" hidden="1" customHeight="1" x14ac:dyDescent="0.3">
      <c r="A27" s="269">
        <v>6731</v>
      </c>
      <c r="B27" s="270" t="s">
        <v>211</v>
      </c>
      <c r="C27" s="270"/>
      <c r="D27" s="270"/>
      <c r="E27" s="348">
        <v>118878715</v>
      </c>
      <c r="F27" s="348">
        <v>118103420</v>
      </c>
      <c r="G27" s="349">
        <v>118093420</v>
      </c>
      <c r="H27" s="349"/>
      <c r="I27" s="349"/>
    </row>
    <row r="28" spans="1:18" ht="21" hidden="1" customHeight="1" x14ac:dyDescent="0.3">
      <c r="A28" s="658" t="s">
        <v>212</v>
      </c>
      <c r="B28" s="659"/>
      <c r="C28" s="271"/>
      <c r="D28" s="271"/>
      <c r="E28" s="350">
        <f>SUM(E24,E26)</f>
        <v>133878715</v>
      </c>
      <c r="F28" s="350">
        <f>SUM(F24,F26)</f>
        <v>133103420</v>
      </c>
      <c r="G28" s="350">
        <f>SUM(G24,G26)</f>
        <v>133093420</v>
      </c>
      <c r="H28" s="350"/>
      <c r="I28" s="350"/>
    </row>
    <row r="29" spans="1:18" ht="7.5" hidden="1" customHeight="1" x14ac:dyDescent="0.3"/>
    <row r="30" spans="1:18" ht="15.6" hidden="1" customHeight="1" x14ac:dyDescent="0.3">
      <c r="A30" s="279" t="s">
        <v>213</v>
      </c>
    </row>
    <row r="31" spans="1:18" s="281" customFormat="1" ht="27" hidden="1" customHeight="1" x14ac:dyDescent="0.3">
      <c r="A31" s="630" t="s">
        <v>200</v>
      </c>
      <c r="B31" s="632" t="s">
        <v>201</v>
      </c>
      <c r="C31" s="261"/>
      <c r="D31" s="261"/>
      <c r="E31" s="617" t="s">
        <v>202</v>
      </c>
      <c r="F31" s="617" t="s">
        <v>203</v>
      </c>
      <c r="G31" s="617" t="s">
        <v>204</v>
      </c>
      <c r="H31" s="617"/>
      <c r="I31" s="617"/>
      <c r="J31" s="639"/>
      <c r="K31" s="640"/>
      <c r="L31" s="640"/>
      <c r="M31" s="640"/>
      <c r="N31" s="640"/>
      <c r="O31" s="634"/>
      <c r="P31" s="634"/>
      <c r="Q31" s="280" t="s">
        <v>214</v>
      </c>
      <c r="R31" s="280" t="s">
        <v>215</v>
      </c>
    </row>
    <row r="32" spans="1:18" s="281" customFormat="1" ht="22.5" hidden="1" customHeight="1" x14ac:dyDescent="0.3">
      <c r="A32" s="631"/>
      <c r="B32" s="633"/>
      <c r="C32" s="262"/>
      <c r="D32" s="262"/>
      <c r="E32" s="618"/>
      <c r="F32" s="618"/>
      <c r="G32" s="618"/>
      <c r="H32" s="618"/>
      <c r="I32" s="618"/>
      <c r="J32" s="639"/>
      <c r="K32" s="640"/>
      <c r="L32" s="640"/>
      <c r="M32" s="640"/>
      <c r="N32" s="640"/>
      <c r="O32" s="634"/>
      <c r="P32" s="634"/>
      <c r="Q32" s="282"/>
      <c r="R32" s="282"/>
    </row>
    <row r="33" spans="1:19" s="284" customFormat="1" ht="31.2" hidden="1" customHeight="1" x14ac:dyDescent="0.3">
      <c r="A33" s="263">
        <v>63</v>
      </c>
      <c r="B33" s="264" t="s">
        <v>38</v>
      </c>
      <c r="C33" s="264"/>
      <c r="D33" s="264"/>
      <c r="E33" s="344">
        <f>SUM(E34:E36)</f>
        <v>52412794</v>
      </c>
      <c r="F33" s="344">
        <f>SUM(F34:F36)</f>
        <v>10687410</v>
      </c>
      <c r="G33" s="345">
        <f>SUM(G34:G36)</f>
        <v>0</v>
      </c>
      <c r="H33" s="345"/>
      <c r="I33" s="345"/>
      <c r="J33" s="274"/>
      <c r="K33" s="274"/>
      <c r="L33" s="274"/>
      <c r="M33" s="274"/>
      <c r="N33" s="274"/>
      <c r="O33" s="274"/>
      <c r="P33" s="274"/>
      <c r="Q33" s="283"/>
      <c r="R33" s="283"/>
    </row>
    <row r="34" spans="1:19" ht="14.25" hidden="1" customHeight="1" x14ac:dyDescent="0.3">
      <c r="A34" s="267">
        <v>634</v>
      </c>
      <c r="B34" s="268" t="s">
        <v>216</v>
      </c>
      <c r="C34" s="268"/>
      <c r="D34" s="268"/>
      <c r="E34" s="354">
        <v>10000</v>
      </c>
      <c r="F34" s="354">
        <v>10000</v>
      </c>
      <c r="G34" s="355">
        <v>0</v>
      </c>
      <c r="H34" s="355"/>
      <c r="I34" s="355"/>
      <c r="J34" s="285"/>
      <c r="K34" s="285"/>
      <c r="L34" s="285"/>
      <c r="M34" s="285"/>
      <c r="N34" s="285"/>
      <c r="O34" s="285"/>
      <c r="P34" s="285"/>
      <c r="Q34" s="256">
        <v>0</v>
      </c>
      <c r="R34" s="256">
        <v>0</v>
      </c>
      <c r="S34" s="284"/>
    </row>
    <row r="35" spans="1:19" ht="31.2" hidden="1" customHeight="1" x14ac:dyDescent="0.3">
      <c r="A35" s="267">
        <v>636</v>
      </c>
      <c r="B35" s="268" t="s">
        <v>217</v>
      </c>
      <c r="C35" s="268"/>
      <c r="D35" s="268"/>
      <c r="E35" s="354">
        <v>0</v>
      </c>
      <c r="F35" s="354">
        <v>2135482</v>
      </c>
      <c r="G35" s="355">
        <v>0</v>
      </c>
      <c r="H35" s="355"/>
      <c r="I35" s="355"/>
      <c r="J35" s="285"/>
      <c r="K35" s="285"/>
      <c r="L35" s="285"/>
      <c r="M35" s="285"/>
      <c r="N35" s="285"/>
      <c r="O35" s="285"/>
      <c r="P35" s="285"/>
      <c r="S35" s="284"/>
    </row>
    <row r="36" spans="1:19" ht="15.6" hidden="1" customHeight="1" x14ac:dyDescent="0.3">
      <c r="A36" s="269">
        <v>638</v>
      </c>
      <c r="B36" s="270" t="s">
        <v>218</v>
      </c>
      <c r="C36" s="270"/>
      <c r="D36" s="270"/>
      <c r="E36" s="356">
        <v>52402794</v>
      </c>
      <c r="F36" s="356">
        <v>8541928</v>
      </c>
      <c r="G36" s="357">
        <v>0</v>
      </c>
      <c r="H36" s="357"/>
      <c r="I36" s="357"/>
      <c r="J36" s="285"/>
      <c r="K36" s="285"/>
      <c r="L36" s="285"/>
      <c r="M36" s="285"/>
      <c r="N36" s="285"/>
      <c r="O36" s="285"/>
      <c r="P36" s="285"/>
      <c r="Q36" s="256">
        <v>0</v>
      </c>
      <c r="R36" s="256">
        <v>0</v>
      </c>
      <c r="S36" s="284"/>
    </row>
    <row r="37" spans="1:19" s="279" customFormat="1" ht="15.6" hidden="1" customHeight="1" x14ac:dyDescent="0.3">
      <c r="A37" s="656" t="s">
        <v>219</v>
      </c>
      <c r="B37" s="657"/>
      <c r="C37" s="286"/>
      <c r="D37" s="286"/>
      <c r="E37" s="350">
        <f>SUM(E33)</f>
        <v>52412794</v>
      </c>
      <c r="F37" s="350">
        <f>SUM(F33)</f>
        <v>10687410</v>
      </c>
      <c r="G37" s="350">
        <f>SUM(G33)</f>
        <v>0</v>
      </c>
      <c r="H37" s="350"/>
      <c r="I37" s="350"/>
      <c r="J37" s="274"/>
      <c r="K37" s="274"/>
      <c r="L37" s="274"/>
      <c r="M37" s="274"/>
      <c r="N37" s="274"/>
      <c r="O37" s="274"/>
      <c r="P37" s="274"/>
      <c r="S37" s="284"/>
    </row>
    <row r="38" spans="1:19" s="279" customFormat="1" ht="15.6" hidden="1" customHeight="1" x14ac:dyDescent="0.3">
      <c r="A38" s="273"/>
      <c r="B38" s="273"/>
      <c r="C38" s="273"/>
      <c r="D38" s="273"/>
      <c r="E38" s="351"/>
      <c r="F38" s="351"/>
      <c r="G38" s="351"/>
      <c r="H38" s="351"/>
      <c r="I38" s="351"/>
      <c r="J38" s="274"/>
      <c r="K38" s="274"/>
      <c r="L38" s="274"/>
      <c r="M38" s="274"/>
      <c r="N38" s="274"/>
      <c r="O38" s="274"/>
      <c r="P38" s="274"/>
      <c r="S38" s="284"/>
    </row>
    <row r="39" spans="1:19" s="279" customFormat="1" ht="15.6" hidden="1" customHeight="1" x14ac:dyDescent="0.3">
      <c r="A39" s="279" t="s">
        <v>220</v>
      </c>
      <c r="B39" s="273"/>
      <c r="C39" s="273"/>
      <c r="D39" s="273"/>
      <c r="E39" s="351"/>
      <c r="F39" s="351"/>
      <c r="G39" s="351"/>
      <c r="H39" s="351"/>
      <c r="I39" s="351"/>
      <c r="J39" s="274"/>
      <c r="K39" s="274"/>
      <c r="L39" s="274"/>
      <c r="M39" s="274"/>
      <c r="N39" s="274"/>
      <c r="O39" s="274"/>
      <c r="P39" s="274"/>
      <c r="S39" s="284"/>
    </row>
    <row r="40" spans="1:19" ht="15" hidden="1" customHeight="1" x14ac:dyDescent="0.3">
      <c r="A40" s="630" t="s">
        <v>200</v>
      </c>
      <c r="B40" s="632" t="s">
        <v>201</v>
      </c>
      <c r="C40" s="261"/>
      <c r="D40" s="261"/>
      <c r="E40" s="617" t="s">
        <v>202</v>
      </c>
      <c r="F40" s="617" t="s">
        <v>203</v>
      </c>
      <c r="G40" s="617" t="s">
        <v>204</v>
      </c>
      <c r="H40" s="617"/>
      <c r="I40" s="617"/>
      <c r="J40" s="387"/>
      <c r="K40" s="255"/>
      <c r="L40" s="255"/>
      <c r="M40" s="255"/>
      <c r="N40" s="287"/>
      <c r="O40" s="288"/>
      <c r="Q40" s="287"/>
      <c r="R40" s="287"/>
      <c r="S40" s="287"/>
    </row>
    <row r="41" spans="1:19" ht="39" hidden="1" customHeight="1" x14ac:dyDescent="0.3">
      <c r="A41" s="631"/>
      <c r="B41" s="633"/>
      <c r="C41" s="262"/>
      <c r="D41" s="262"/>
      <c r="E41" s="618"/>
      <c r="F41" s="618"/>
      <c r="G41" s="618"/>
      <c r="H41" s="618"/>
      <c r="I41" s="618"/>
      <c r="J41" s="387"/>
      <c r="K41" s="255"/>
      <c r="L41" s="255"/>
      <c r="M41" s="255"/>
      <c r="N41" s="287"/>
      <c r="O41" s="288"/>
      <c r="Q41" s="287"/>
      <c r="R41" s="287"/>
      <c r="S41" s="287"/>
    </row>
    <row r="42" spans="1:19" ht="31.2" hidden="1" customHeight="1" x14ac:dyDescent="0.3">
      <c r="A42" s="263">
        <v>66</v>
      </c>
      <c r="B42" s="264" t="s">
        <v>94</v>
      </c>
      <c r="C42" s="264"/>
      <c r="D42" s="264"/>
      <c r="E42" s="344">
        <f>SUM(E43:E43)</f>
        <v>1140740</v>
      </c>
      <c r="F42" s="344">
        <f>SUM(F43:F43)</f>
        <v>1000000</v>
      </c>
      <c r="G42" s="345">
        <f>SUM(G43:G43)</f>
        <v>1000000</v>
      </c>
      <c r="H42" s="345"/>
      <c r="I42" s="345"/>
      <c r="J42" s="387"/>
      <c r="K42" s="255"/>
      <c r="L42" s="255"/>
      <c r="M42" s="255"/>
      <c r="N42" s="287"/>
      <c r="O42" s="288"/>
      <c r="Q42" s="287"/>
      <c r="R42" s="287"/>
      <c r="S42" s="287"/>
    </row>
    <row r="43" spans="1:19" ht="31.2" hidden="1" customHeight="1" x14ac:dyDescent="0.3">
      <c r="A43" s="269">
        <v>663</v>
      </c>
      <c r="B43" s="270" t="s">
        <v>188</v>
      </c>
      <c r="C43" s="270"/>
      <c r="D43" s="270"/>
      <c r="E43" s="348">
        <v>1140740</v>
      </c>
      <c r="F43" s="348">
        <v>1000000</v>
      </c>
      <c r="G43" s="349">
        <v>1000000</v>
      </c>
      <c r="H43" s="349"/>
      <c r="I43" s="349"/>
      <c r="J43" s="387"/>
      <c r="K43" s="255"/>
      <c r="L43" s="255"/>
      <c r="M43" s="255"/>
      <c r="N43" s="287"/>
      <c r="O43" s="288"/>
      <c r="Q43" s="287"/>
      <c r="R43" s="287"/>
      <c r="S43" s="287"/>
    </row>
    <row r="44" spans="1:19" ht="15.6" hidden="1" customHeight="1" x14ac:dyDescent="0.3">
      <c r="A44" s="652" t="s">
        <v>221</v>
      </c>
      <c r="B44" s="653"/>
      <c r="C44" s="289"/>
      <c r="D44" s="289"/>
      <c r="E44" s="350">
        <f>SUM(E42)</f>
        <v>1140740</v>
      </c>
      <c r="F44" s="350">
        <f>SUM(F42)</f>
        <v>1000000</v>
      </c>
      <c r="G44" s="350">
        <f>SUM(G42)</f>
        <v>1000000</v>
      </c>
      <c r="H44" s="350"/>
      <c r="I44" s="350"/>
      <c r="J44" s="387"/>
      <c r="K44" s="255"/>
      <c r="L44" s="255"/>
      <c r="M44" s="255"/>
      <c r="N44" s="287"/>
      <c r="O44" s="288"/>
      <c r="Q44" s="287"/>
      <c r="R44" s="287"/>
      <c r="S44" s="287"/>
    </row>
    <row r="45" spans="1:19" ht="15.6" hidden="1" customHeight="1" x14ac:dyDescent="0.3">
      <c r="A45" s="290"/>
      <c r="B45" s="290"/>
      <c r="C45" s="290"/>
      <c r="D45" s="290"/>
      <c r="E45" s="351"/>
      <c r="F45" s="351"/>
      <c r="G45" s="351"/>
      <c r="H45" s="351"/>
      <c r="I45" s="351"/>
      <c r="J45" s="387"/>
      <c r="K45" s="255"/>
      <c r="L45" s="255"/>
      <c r="M45" s="255"/>
      <c r="N45" s="287"/>
      <c r="O45" s="288"/>
      <c r="Q45" s="287"/>
      <c r="R45" s="287"/>
      <c r="S45" s="287"/>
    </row>
    <row r="46" spans="1:19" ht="15.6" hidden="1" customHeight="1" x14ac:dyDescent="0.3">
      <c r="A46" s="291" t="s">
        <v>222</v>
      </c>
      <c r="B46" s="292"/>
      <c r="C46" s="292"/>
      <c r="D46" s="292"/>
      <c r="E46" s="358"/>
      <c r="F46" s="359"/>
      <c r="G46" s="359"/>
      <c r="H46" s="359"/>
      <c r="I46" s="359"/>
      <c r="J46" s="387"/>
      <c r="K46" s="255"/>
      <c r="L46" s="255"/>
      <c r="M46" s="255"/>
      <c r="N46" s="287"/>
      <c r="O46" s="288"/>
      <c r="Q46" s="287"/>
      <c r="R46" s="287"/>
      <c r="S46" s="287"/>
    </row>
    <row r="47" spans="1:19" ht="15" hidden="1" customHeight="1" x14ac:dyDescent="0.3">
      <c r="A47" s="630" t="s">
        <v>200</v>
      </c>
      <c r="B47" s="632" t="s">
        <v>201</v>
      </c>
      <c r="C47" s="261"/>
      <c r="D47" s="261"/>
      <c r="E47" s="617" t="s">
        <v>202</v>
      </c>
      <c r="F47" s="617" t="s">
        <v>203</v>
      </c>
      <c r="G47" s="617" t="s">
        <v>204</v>
      </c>
      <c r="H47" s="617"/>
      <c r="I47" s="617"/>
      <c r="J47" s="387"/>
      <c r="K47" s="255"/>
      <c r="L47" s="255"/>
      <c r="M47" s="255"/>
      <c r="N47" s="287"/>
      <c r="O47" s="288"/>
      <c r="Q47" s="287"/>
      <c r="R47" s="287"/>
      <c r="S47" s="287"/>
    </row>
    <row r="48" spans="1:19" ht="39.75" hidden="1" customHeight="1" x14ac:dyDescent="0.3">
      <c r="A48" s="631"/>
      <c r="B48" s="633"/>
      <c r="C48" s="262"/>
      <c r="D48" s="262"/>
      <c r="E48" s="618"/>
      <c r="F48" s="618"/>
      <c r="G48" s="618"/>
      <c r="H48" s="618"/>
      <c r="I48" s="618"/>
      <c r="J48" s="387"/>
      <c r="K48" s="255"/>
      <c r="L48" s="255"/>
      <c r="M48" s="255"/>
      <c r="N48" s="287"/>
      <c r="O48" s="288"/>
      <c r="Q48" s="287"/>
      <c r="R48" s="287"/>
      <c r="S48" s="287"/>
    </row>
    <row r="49" spans="1:19" ht="31.2" hidden="1" customHeight="1" x14ac:dyDescent="0.3">
      <c r="A49" s="263">
        <v>72</v>
      </c>
      <c r="B49" s="264" t="s">
        <v>37</v>
      </c>
      <c r="C49" s="264"/>
      <c r="D49" s="264"/>
      <c r="E49" s="344">
        <f>SUM(E50:E51)</f>
        <v>100000</v>
      </c>
      <c r="F49" s="344">
        <f>SUM(F50:F51)</f>
        <v>100000</v>
      </c>
      <c r="G49" s="345">
        <f>SUM(G50:G51)</f>
        <v>100000</v>
      </c>
      <c r="H49" s="345"/>
      <c r="I49" s="345"/>
      <c r="J49" s="387"/>
      <c r="K49" s="255"/>
      <c r="L49" s="255"/>
      <c r="M49" s="255"/>
      <c r="N49" s="287"/>
      <c r="O49" s="288"/>
      <c r="Q49" s="287"/>
      <c r="R49" s="287"/>
      <c r="S49" s="287"/>
    </row>
    <row r="50" spans="1:19" ht="15.6" hidden="1" customHeight="1" x14ac:dyDescent="0.3">
      <c r="A50" s="267">
        <v>722</v>
      </c>
      <c r="B50" s="268" t="s">
        <v>223</v>
      </c>
      <c r="C50" s="268"/>
      <c r="D50" s="268"/>
      <c r="E50" s="354">
        <v>10000</v>
      </c>
      <c r="F50" s="354">
        <v>10000</v>
      </c>
      <c r="G50" s="355">
        <v>10000</v>
      </c>
      <c r="H50" s="355"/>
      <c r="I50" s="355"/>
      <c r="J50" s="387"/>
      <c r="K50" s="255"/>
      <c r="L50" s="255"/>
      <c r="M50" s="255"/>
      <c r="N50" s="287"/>
      <c r="O50" s="288"/>
      <c r="Q50" s="287"/>
      <c r="R50" s="287"/>
      <c r="S50" s="287"/>
    </row>
    <row r="51" spans="1:19" ht="15.6" hidden="1" customHeight="1" x14ac:dyDescent="0.3">
      <c r="A51" s="269">
        <v>723</v>
      </c>
      <c r="B51" s="270" t="s">
        <v>224</v>
      </c>
      <c r="C51" s="270"/>
      <c r="D51" s="270"/>
      <c r="E51" s="348">
        <v>90000</v>
      </c>
      <c r="F51" s="348">
        <v>90000</v>
      </c>
      <c r="G51" s="349">
        <v>90000</v>
      </c>
      <c r="H51" s="349"/>
      <c r="I51" s="349"/>
      <c r="J51" s="387"/>
      <c r="K51" s="255"/>
      <c r="L51" s="255"/>
      <c r="M51" s="255"/>
      <c r="N51" s="287"/>
      <c r="O51" s="288"/>
      <c r="Q51" s="287"/>
      <c r="R51" s="287"/>
      <c r="S51" s="287"/>
    </row>
    <row r="52" spans="1:19" ht="33" hidden="1" customHeight="1" x14ac:dyDescent="0.3">
      <c r="A52" s="652" t="s">
        <v>225</v>
      </c>
      <c r="B52" s="653"/>
      <c r="C52" s="289"/>
      <c r="D52" s="289"/>
      <c r="E52" s="350">
        <f>SUM(E49)</f>
        <v>100000</v>
      </c>
      <c r="F52" s="350">
        <f>SUM(F49)</f>
        <v>100000</v>
      </c>
      <c r="G52" s="350">
        <f>SUM(G49)</f>
        <v>100000</v>
      </c>
      <c r="H52" s="350"/>
      <c r="I52" s="350"/>
      <c r="J52" s="387"/>
      <c r="K52" s="255"/>
      <c r="L52" s="255"/>
      <c r="M52" s="255"/>
      <c r="N52" s="287"/>
      <c r="O52" s="288"/>
      <c r="Q52" s="287"/>
      <c r="R52" s="287"/>
      <c r="S52" s="287"/>
    </row>
    <row r="53" spans="1:19" s="279" customFormat="1" ht="15.6" hidden="1" customHeight="1" x14ac:dyDescent="0.3">
      <c r="B53" s="273"/>
      <c r="C53" s="273"/>
      <c r="D53" s="273"/>
      <c r="E53" s="351"/>
      <c r="F53" s="351"/>
      <c r="G53" s="351"/>
      <c r="H53" s="351"/>
      <c r="I53" s="351"/>
      <c r="J53" s="274"/>
      <c r="K53" s="274"/>
      <c r="L53" s="274"/>
      <c r="M53" s="274"/>
      <c r="N53" s="274"/>
      <c r="O53" s="274"/>
      <c r="P53" s="274"/>
      <c r="S53" s="284"/>
    </row>
    <row r="54" spans="1:19" s="279" customFormat="1" ht="30.75" hidden="1" customHeight="1" x14ac:dyDescent="0.3">
      <c r="A54" s="627" t="s">
        <v>226</v>
      </c>
      <c r="B54" s="628"/>
      <c r="C54" s="293"/>
      <c r="D54" s="293"/>
      <c r="E54" s="360">
        <f>SUM(E10,E19,E28,E37,E44,E52)</f>
        <v>211136750</v>
      </c>
      <c r="F54" s="360">
        <f>SUM(F10,F19,F28,F37,F44,F52)</f>
        <v>161733943</v>
      </c>
      <c r="G54" s="360">
        <f>SUM(G10,G19,G28,G37,G44,G52)</f>
        <v>151036533</v>
      </c>
      <c r="H54" s="360"/>
      <c r="I54" s="360"/>
      <c r="J54" s="274"/>
      <c r="K54" s="274"/>
      <c r="L54" s="274"/>
      <c r="M54" s="274"/>
      <c r="N54" s="274"/>
      <c r="O54" s="274"/>
      <c r="P54" s="274"/>
      <c r="S54" s="284"/>
    </row>
    <row r="55" spans="1:19" ht="15.6" hidden="1" customHeight="1" x14ac:dyDescent="0.3"/>
    <row r="56" spans="1:19" ht="18.75" hidden="1" customHeight="1" x14ac:dyDescent="0.3">
      <c r="A56" s="654" t="s">
        <v>227</v>
      </c>
      <c r="B56" s="654"/>
      <c r="C56" s="654"/>
      <c r="D56" s="654"/>
      <c r="E56" s="654"/>
      <c r="F56" s="654"/>
      <c r="G56" s="654"/>
      <c r="H56" s="295"/>
      <c r="I56" s="295"/>
      <c r="J56" s="391"/>
      <c r="K56" s="295"/>
      <c r="L56" s="295"/>
      <c r="M56" s="295"/>
      <c r="N56" s="287"/>
      <c r="O56" s="288"/>
      <c r="Q56" s="287"/>
      <c r="R56" s="287"/>
      <c r="S56" s="287"/>
    </row>
    <row r="57" spans="1:19" s="297" customFormat="1" ht="22.5" hidden="1" customHeight="1" x14ac:dyDescent="0.3">
      <c r="A57" s="257" t="s">
        <v>228</v>
      </c>
      <c r="B57" s="296"/>
      <c r="C57" s="296"/>
      <c r="D57" s="296"/>
      <c r="E57" s="361"/>
      <c r="F57" s="362"/>
      <c r="G57" s="363"/>
      <c r="H57" s="363"/>
      <c r="I57" s="363"/>
      <c r="J57" s="392"/>
      <c r="K57" s="298"/>
      <c r="L57" s="298"/>
      <c r="M57" s="298"/>
      <c r="N57" s="298"/>
    </row>
    <row r="58" spans="1:19" s="297" customFormat="1" ht="15.6" hidden="1" customHeight="1" x14ac:dyDescent="0.3">
      <c r="A58" s="637" t="s">
        <v>229</v>
      </c>
      <c r="B58" s="637"/>
      <c r="C58" s="637"/>
      <c r="D58" s="637"/>
      <c r="E58" s="637"/>
      <c r="F58" s="364"/>
      <c r="G58" s="362"/>
      <c r="H58" s="362"/>
      <c r="I58" s="362"/>
      <c r="J58" s="388"/>
    </row>
    <row r="59" spans="1:19" s="279" customFormat="1" ht="15.6" hidden="1" customHeight="1" x14ac:dyDescent="0.3">
      <c r="A59" s="655" t="s">
        <v>230</v>
      </c>
      <c r="B59" s="655"/>
      <c r="C59" s="299"/>
      <c r="D59" s="299"/>
      <c r="E59" s="351"/>
      <c r="F59" s="351"/>
      <c r="G59" s="351"/>
      <c r="H59" s="351"/>
      <c r="I59" s="351"/>
      <c r="J59" s="274"/>
      <c r="K59" s="274"/>
      <c r="L59" s="274"/>
      <c r="M59" s="274"/>
      <c r="N59" s="274"/>
      <c r="O59" s="274"/>
      <c r="P59" s="274"/>
      <c r="S59" s="284"/>
    </row>
    <row r="60" spans="1:19" s="279" customFormat="1" ht="15.6" hidden="1" customHeight="1" x14ac:dyDescent="0.3">
      <c r="A60" s="300" t="s">
        <v>231</v>
      </c>
      <c r="B60" s="273"/>
      <c r="C60" s="273"/>
      <c r="D60" s="273"/>
      <c r="E60" s="351"/>
      <c r="F60" s="351"/>
      <c r="G60" s="351"/>
      <c r="H60" s="351"/>
      <c r="I60" s="351"/>
      <c r="J60" s="274"/>
      <c r="K60" s="274"/>
      <c r="L60" s="274"/>
      <c r="M60" s="274"/>
      <c r="N60" s="274"/>
      <c r="O60" s="274"/>
      <c r="P60" s="274"/>
      <c r="S60" s="284"/>
    </row>
    <row r="61" spans="1:19" s="281" customFormat="1" ht="32.25" hidden="1" customHeight="1" x14ac:dyDescent="0.3">
      <c r="A61" s="630" t="s">
        <v>232</v>
      </c>
      <c r="B61" s="632" t="s">
        <v>201</v>
      </c>
      <c r="C61" s="261"/>
      <c r="D61" s="261"/>
      <c r="E61" s="617" t="s">
        <v>202</v>
      </c>
      <c r="F61" s="617" t="s">
        <v>203</v>
      </c>
      <c r="G61" s="617" t="s">
        <v>204</v>
      </c>
      <c r="H61" s="617"/>
      <c r="I61" s="617"/>
      <c r="J61" s="639"/>
      <c r="K61" s="640"/>
      <c r="L61" s="640"/>
      <c r="M61" s="640"/>
      <c r="N61" s="640"/>
      <c r="O61" s="634"/>
      <c r="P61" s="634"/>
      <c r="Q61" s="280" t="s">
        <v>214</v>
      </c>
      <c r="R61" s="280" t="s">
        <v>215</v>
      </c>
    </row>
    <row r="62" spans="1:19" s="281" customFormat="1" ht="15" hidden="1" customHeight="1" x14ac:dyDescent="0.3">
      <c r="A62" s="631"/>
      <c r="B62" s="633"/>
      <c r="C62" s="262"/>
      <c r="D62" s="262"/>
      <c r="E62" s="618"/>
      <c r="F62" s="618"/>
      <c r="G62" s="618"/>
      <c r="H62" s="618"/>
      <c r="I62" s="618"/>
      <c r="J62" s="639"/>
      <c r="K62" s="640"/>
      <c r="L62" s="640"/>
      <c r="M62" s="640"/>
      <c r="N62" s="640"/>
      <c r="O62" s="634"/>
      <c r="P62" s="634"/>
      <c r="Q62" s="282"/>
      <c r="R62" s="282"/>
    </row>
    <row r="63" spans="1:19" s="284" customFormat="1" ht="15.75" hidden="1" customHeight="1" x14ac:dyDescent="0.3">
      <c r="A63" s="263">
        <v>32</v>
      </c>
      <c r="B63" s="264" t="s">
        <v>33</v>
      </c>
      <c r="C63" s="264"/>
      <c r="D63" s="264"/>
      <c r="E63" s="344">
        <f>SUM(E64)</f>
        <v>1243113</v>
      </c>
      <c r="F63" s="344">
        <f>SUM(F64:F64)</f>
        <v>1243113</v>
      </c>
      <c r="G63" s="345">
        <f>SUM(G64:G64)</f>
        <v>1243113</v>
      </c>
      <c r="H63" s="345"/>
      <c r="I63" s="345"/>
      <c r="J63" s="274"/>
      <c r="K63" s="274"/>
      <c r="L63" s="274"/>
      <c r="M63" s="274"/>
      <c r="N63" s="274"/>
      <c r="O63" s="274"/>
      <c r="P63" s="274"/>
      <c r="Q63" s="284">
        <v>0</v>
      </c>
      <c r="R63" s="284">
        <v>0</v>
      </c>
      <c r="S63" s="284">
        <f>SUM(F63:M63)</f>
        <v>2486226</v>
      </c>
    </row>
    <row r="64" spans="1:19" ht="18" hidden="1" customHeight="1" x14ac:dyDescent="0.3">
      <c r="A64" s="267">
        <v>323</v>
      </c>
      <c r="B64" s="268" t="s">
        <v>152</v>
      </c>
      <c r="C64" s="268"/>
      <c r="D64" s="268"/>
      <c r="E64" s="354">
        <v>1243113</v>
      </c>
      <c r="F64" s="354">
        <v>1243113</v>
      </c>
      <c r="G64" s="354">
        <v>1243113</v>
      </c>
      <c r="H64" s="354"/>
      <c r="I64" s="354"/>
      <c r="J64" s="285"/>
      <c r="K64" s="285"/>
      <c r="L64" s="285"/>
      <c r="M64" s="285"/>
      <c r="N64" s="285"/>
      <c r="O64" s="285"/>
      <c r="P64" s="285"/>
      <c r="S64" s="284"/>
    </row>
    <row r="65" spans="1:19" ht="15.6" hidden="1" customHeight="1" x14ac:dyDescent="0.3">
      <c r="A65" s="301">
        <v>41</v>
      </c>
      <c r="B65" s="276" t="s">
        <v>22</v>
      </c>
      <c r="C65" s="276"/>
      <c r="D65" s="276"/>
      <c r="E65" s="352">
        <f>SUM(E66)</f>
        <v>25000</v>
      </c>
      <c r="F65" s="352">
        <f>SUM(F66)</f>
        <v>25000</v>
      </c>
      <c r="G65" s="353">
        <f>SUM(G66)</f>
        <v>25000</v>
      </c>
      <c r="H65" s="353"/>
      <c r="I65" s="353"/>
      <c r="J65" s="274"/>
      <c r="K65" s="274"/>
      <c r="L65" s="274"/>
      <c r="M65" s="274"/>
      <c r="N65" s="274"/>
      <c r="O65" s="274"/>
      <c r="P65" s="274"/>
      <c r="S65" s="284">
        <f>SUM(F65:M65)</f>
        <v>50000</v>
      </c>
    </row>
    <row r="66" spans="1:19" ht="15.6" hidden="1" customHeight="1" x14ac:dyDescent="0.3">
      <c r="A66" s="302">
        <v>412</v>
      </c>
      <c r="B66" s="268" t="s">
        <v>233</v>
      </c>
      <c r="C66" s="268"/>
      <c r="D66" s="268"/>
      <c r="E66" s="354">
        <v>25000</v>
      </c>
      <c r="F66" s="354">
        <v>25000</v>
      </c>
      <c r="G66" s="354">
        <v>25000</v>
      </c>
      <c r="H66" s="354"/>
      <c r="I66" s="354"/>
      <c r="J66" s="285"/>
      <c r="K66" s="303"/>
      <c r="L66" s="303"/>
      <c r="M66" s="303"/>
      <c r="N66" s="303"/>
      <c r="O66" s="303"/>
      <c r="P66" s="303"/>
      <c r="S66" s="284"/>
    </row>
    <row r="67" spans="1:19" ht="36" hidden="1" customHeight="1" x14ac:dyDescent="0.3">
      <c r="A67" s="275">
        <v>42</v>
      </c>
      <c r="B67" s="276" t="s">
        <v>40</v>
      </c>
      <c r="C67" s="276"/>
      <c r="D67" s="276"/>
      <c r="E67" s="352">
        <f>SUM(E68:E69)</f>
        <v>2975000</v>
      </c>
      <c r="F67" s="352">
        <f>SUM(F68:F69)</f>
        <v>2975000</v>
      </c>
      <c r="G67" s="352">
        <f>SUM(G68:G69)</f>
        <v>2975000</v>
      </c>
      <c r="H67" s="352"/>
      <c r="I67" s="352"/>
      <c r="J67" s="274"/>
      <c r="K67" s="274"/>
      <c r="L67" s="274"/>
      <c r="M67" s="274"/>
      <c r="N67" s="274"/>
      <c r="O67" s="274"/>
      <c r="P67" s="274"/>
      <c r="S67" s="284">
        <f>SUM(F67:M67)</f>
        <v>5950000</v>
      </c>
    </row>
    <row r="68" spans="1:19" s="304" customFormat="1" ht="15.6" hidden="1" customHeight="1" x14ac:dyDescent="0.3">
      <c r="A68" s="267">
        <v>421</v>
      </c>
      <c r="B68" s="268" t="s">
        <v>234</v>
      </c>
      <c r="C68" s="268"/>
      <c r="D68" s="268"/>
      <c r="E68" s="354">
        <v>2000000</v>
      </c>
      <c r="F68" s="354">
        <v>2000000</v>
      </c>
      <c r="G68" s="354">
        <v>2000000</v>
      </c>
      <c r="H68" s="354"/>
      <c r="I68" s="354"/>
      <c r="J68" s="285"/>
      <c r="K68" s="285"/>
      <c r="L68" s="285"/>
      <c r="M68" s="285"/>
      <c r="N68" s="285"/>
      <c r="O68" s="285"/>
      <c r="P68" s="285"/>
    </row>
    <row r="69" spans="1:19" s="304" customFormat="1" ht="15.6" hidden="1" customHeight="1" x14ac:dyDescent="0.3">
      <c r="A69" s="269">
        <v>422</v>
      </c>
      <c r="B69" s="270" t="s">
        <v>153</v>
      </c>
      <c r="C69" s="270"/>
      <c r="D69" s="270"/>
      <c r="E69" s="356">
        <v>975000</v>
      </c>
      <c r="F69" s="356">
        <v>975000</v>
      </c>
      <c r="G69" s="356">
        <v>975000</v>
      </c>
      <c r="H69" s="356"/>
      <c r="I69" s="356"/>
      <c r="J69" s="285"/>
      <c r="K69" s="285"/>
      <c r="L69" s="285"/>
      <c r="M69" s="285"/>
      <c r="N69" s="285"/>
      <c r="O69" s="285"/>
      <c r="P69" s="285"/>
    </row>
    <row r="70" spans="1:19" s="279" customFormat="1" ht="15.6" hidden="1" customHeight="1" x14ac:dyDescent="0.3">
      <c r="A70" s="627" t="s">
        <v>235</v>
      </c>
      <c r="B70" s="628"/>
      <c r="C70" s="293"/>
      <c r="D70" s="293"/>
      <c r="E70" s="350">
        <f>SUM(E63,E65,E67)</f>
        <v>4243113</v>
      </c>
      <c r="F70" s="350">
        <f>SUM(F63,F65,F67)</f>
        <v>4243113</v>
      </c>
      <c r="G70" s="350">
        <f>SUM(G63,G65,G67)</f>
        <v>4243113</v>
      </c>
      <c r="H70" s="350"/>
      <c r="I70" s="350"/>
      <c r="J70" s="274"/>
      <c r="K70" s="274"/>
      <c r="L70" s="274"/>
      <c r="M70" s="274"/>
      <c r="N70" s="274"/>
      <c r="O70" s="274"/>
      <c r="P70" s="274"/>
      <c r="Q70" s="305" t="e">
        <f>SUM(#REF!,Q63,#REF!,Q65,Q67)</f>
        <v>#REF!</v>
      </c>
      <c r="R70" s="272" t="e">
        <f>SUM(#REF!,R63,#REF!,R65,R67)</f>
        <v>#REF!</v>
      </c>
      <c r="S70" s="272" t="e">
        <f>SUM(#REF!,S63,#REF!,S65,S67)</f>
        <v>#REF!</v>
      </c>
    </row>
    <row r="71" spans="1:19" s="279" customFormat="1" ht="15.6" hidden="1" customHeight="1" x14ac:dyDescent="0.3">
      <c r="A71" s="273"/>
      <c r="B71" s="273"/>
      <c r="C71" s="273"/>
      <c r="D71" s="273"/>
      <c r="E71" s="351"/>
      <c r="F71" s="351"/>
      <c r="G71" s="351"/>
      <c r="H71" s="351"/>
      <c r="I71" s="351"/>
      <c r="J71" s="274"/>
      <c r="K71" s="274"/>
      <c r="L71" s="274"/>
      <c r="M71" s="274"/>
      <c r="N71" s="274"/>
      <c r="O71" s="274"/>
      <c r="P71" s="274"/>
      <c r="S71" s="284"/>
    </row>
    <row r="72" spans="1:19" s="279" customFormat="1" ht="15.6" hidden="1" customHeight="1" x14ac:dyDescent="0.3">
      <c r="A72" s="300" t="s">
        <v>236</v>
      </c>
      <c r="B72" s="273"/>
      <c r="C72" s="273"/>
      <c r="D72" s="273"/>
      <c r="E72" s="351"/>
      <c r="F72" s="351"/>
      <c r="G72" s="351"/>
      <c r="H72" s="351"/>
      <c r="I72" s="351"/>
      <c r="J72" s="274"/>
      <c r="K72" s="274"/>
      <c r="L72" s="274"/>
      <c r="M72" s="274"/>
      <c r="N72" s="274"/>
      <c r="O72" s="274"/>
      <c r="P72" s="274"/>
      <c r="S72" s="284"/>
    </row>
    <row r="73" spans="1:19" s="281" customFormat="1" ht="32.25" hidden="1" customHeight="1" x14ac:dyDescent="0.3">
      <c r="A73" s="630" t="s">
        <v>232</v>
      </c>
      <c r="B73" s="632" t="s">
        <v>201</v>
      </c>
      <c r="C73" s="261"/>
      <c r="D73" s="261"/>
      <c r="E73" s="617" t="s">
        <v>202</v>
      </c>
      <c r="F73" s="617" t="s">
        <v>203</v>
      </c>
      <c r="G73" s="617" t="s">
        <v>204</v>
      </c>
      <c r="H73" s="617"/>
      <c r="I73" s="617"/>
      <c r="J73" s="639"/>
      <c r="K73" s="640"/>
      <c r="L73" s="640"/>
      <c r="M73" s="640"/>
      <c r="N73" s="640"/>
      <c r="O73" s="634"/>
      <c r="P73" s="634"/>
      <c r="Q73" s="280" t="s">
        <v>214</v>
      </c>
      <c r="R73" s="280" t="s">
        <v>215</v>
      </c>
    </row>
    <row r="74" spans="1:19" s="281" customFormat="1" ht="15" hidden="1" customHeight="1" x14ac:dyDescent="0.3">
      <c r="A74" s="631"/>
      <c r="B74" s="633"/>
      <c r="C74" s="262"/>
      <c r="D74" s="262"/>
      <c r="E74" s="618"/>
      <c r="F74" s="618"/>
      <c r="G74" s="618"/>
      <c r="H74" s="618"/>
      <c r="I74" s="618"/>
      <c r="J74" s="639"/>
      <c r="K74" s="640"/>
      <c r="L74" s="640"/>
      <c r="M74" s="640"/>
      <c r="N74" s="640"/>
      <c r="O74" s="634"/>
      <c r="P74" s="634"/>
      <c r="Q74" s="282"/>
      <c r="R74" s="282"/>
    </row>
    <row r="75" spans="1:19" s="284" customFormat="1" ht="14.25" hidden="1" customHeight="1" x14ac:dyDescent="0.3">
      <c r="A75" s="306">
        <v>31</v>
      </c>
      <c r="B75" s="264" t="s">
        <v>21</v>
      </c>
      <c r="C75" s="264"/>
      <c r="D75" s="264"/>
      <c r="E75" s="344">
        <f>SUM(E76:E77)</f>
        <v>1086000</v>
      </c>
      <c r="F75" s="344">
        <f>SUM(F76:F77)</f>
        <v>1086000</v>
      </c>
      <c r="G75" s="345">
        <f>SUM(G76:G77)</f>
        <v>1086000</v>
      </c>
      <c r="H75" s="345"/>
      <c r="I75" s="345"/>
      <c r="J75" s="274"/>
      <c r="K75" s="274"/>
      <c r="L75" s="274"/>
      <c r="M75" s="274"/>
      <c r="N75" s="274"/>
      <c r="O75" s="274"/>
      <c r="P75" s="274"/>
      <c r="Q75" s="307">
        <f>SUM(Q76:Q77)</f>
        <v>0</v>
      </c>
      <c r="R75" s="308">
        <f>SUM(R76:R77)</f>
        <v>0</v>
      </c>
      <c r="S75" s="284">
        <f>SUM(F75:M75)</f>
        <v>2172000</v>
      </c>
    </row>
    <row r="76" spans="1:19" ht="14.25" hidden="1" customHeight="1" x14ac:dyDescent="0.3">
      <c r="A76" s="302">
        <v>311</v>
      </c>
      <c r="B76" s="268" t="s">
        <v>237</v>
      </c>
      <c r="C76" s="268"/>
      <c r="D76" s="268"/>
      <c r="E76" s="354">
        <v>1000000</v>
      </c>
      <c r="F76" s="365">
        <v>1000000</v>
      </c>
      <c r="G76" s="355">
        <v>1000000</v>
      </c>
      <c r="H76" s="355"/>
      <c r="I76" s="355"/>
      <c r="J76" s="285"/>
      <c r="K76" s="274"/>
      <c r="L76" s="285"/>
      <c r="M76" s="285"/>
      <c r="N76" s="285"/>
      <c r="O76" s="285"/>
      <c r="P76" s="285"/>
      <c r="Q76" s="256">
        <v>0</v>
      </c>
      <c r="R76" s="256">
        <v>0</v>
      </c>
      <c r="S76" s="284"/>
    </row>
    <row r="77" spans="1:19" ht="18.75" hidden="1" customHeight="1" x14ac:dyDescent="0.3">
      <c r="A77" s="267">
        <v>313</v>
      </c>
      <c r="B77" s="268" t="s">
        <v>165</v>
      </c>
      <c r="C77" s="268"/>
      <c r="D77" s="268"/>
      <c r="E77" s="354">
        <v>86000</v>
      </c>
      <c r="F77" s="365">
        <v>86000</v>
      </c>
      <c r="G77" s="355">
        <v>86000</v>
      </c>
      <c r="H77" s="355"/>
      <c r="I77" s="355"/>
      <c r="J77" s="285"/>
      <c r="K77" s="274"/>
      <c r="L77" s="285"/>
      <c r="M77" s="285"/>
      <c r="N77" s="285"/>
      <c r="O77" s="285"/>
      <c r="P77" s="285"/>
      <c r="Q77" s="256">
        <v>0</v>
      </c>
      <c r="R77" s="256">
        <v>0</v>
      </c>
      <c r="S77" s="284"/>
    </row>
    <row r="78" spans="1:19" s="279" customFormat="1" ht="15.75" hidden="1" customHeight="1" x14ac:dyDescent="0.3">
      <c r="A78" s="275">
        <v>38</v>
      </c>
      <c r="B78" s="310" t="s">
        <v>174</v>
      </c>
      <c r="C78" s="310"/>
      <c r="D78" s="310"/>
      <c r="E78" s="352">
        <f>SUM(E79)</f>
        <v>14000</v>
      </c>
      <c r="F78" s="352">
        <f>SUM(F79)</f>
        <v>14000</v>
      </c>
      <c r="G78" s="353">
        <f>SUM(G79)</f>
        <v>14000</v>
      </c>
      <c r="H78" s="353"/>
      <c r="I78" s="353"/>
      <c r="J78" s="274"/>
      <c r="K78" s="274"/>
      <c r="L78" s="274"/>
      <c r="M78" s="274"/>
      <c r="N78" s="274"/>
      <c r="O78" s="274"/>
      <c r="P78" s="274"/>
      <c r="Q78" s="279">
        <v>0</v>
      </c>
      <c r="R78" s="279">
        <v>0</v>
      </c>
      <c r="S78" s="279">
        <f>SUM(F78:M78)</f>
        <v>28000</v>
      </c>
    </row>
    <row r="79" spans="1:19" ht="12.75" hidden="1" customHeight="1" x14ac:dyDescent="0.3">
      <c r="A79" s="267">
        <v>381</v>
      </c>
      <c r="B79" s="268" t="s">
        <v>117</v>
      </c>
      <c r="C79" s="268"/>
      <c r="D79" s="268"/>
      <c r="E79" s="354">
        <v>14000</v>
      </c>
      <c r="F79" s="365">
        <v>14000</v>
      </c>
      <c r="G79" s="366">
        <v>14000</v>
      </c>
      <c r="H79" s="366"/>
      <c r="I79" s="366"/>
      <c r="J79" s="285"/>
      <c r="K79" s="274"/>
      <c r="L79" s="285"/>
      <c r="M79" s="285"/>
      <c r="N79" s="285"/>
      <c r="O79" s="285"/>
      <c r="P79" s="285"/>
      <c r="Q79" s="256">
        <v>0</v>
      </c>
      <c r="R79" s="256">
        <v>0</v>
      </c>
      <c r="S79" s="284"/>
    </row>
    <row r="80" spans="1:19" ht="37.5" hidden="1" customHeight="1" x14ac:dyDescent="0.3">
      <c r="A80" s="275">
        <v>42</v>
      </c>
      <c r="B80" s="276" t="s">
        <v>40</v>
      </c>
      <c r="C80" s="276"/>
      <c r="D80" s="276"/>
      <c r="E80" s="352">
        <f>SUM(E81:E83)</f>
        <v>1500000</v>
      </c>
      <c r="F80" s="352">
        <f>SUM(F81:F83)</f>
        <v>1500000</v>
      </c>
      <c r="G80" s="353">
        <f>SUM(G81:G83)</f>
        <v>1500000</v>
      </c>
      <c r="H80" s="353"/>
      <c r="I80" s="353"/>
      <c r="J80" s="274"/>
      <c r="K80" s="274"/>
      <c r="L80" s="274"/>
      <c r="M80" s="274"/>
      <c r="N80" s="274"/>
      <c r="O80" s="274"/>
      <c r="P80" s="274"/>
      <c r="S80" s="284">
        <f>SUM(F80:M80)</f>
        <v>3000000</v>
      </c>
    </row>
    <row r="81" spans="1:19" ht="15.6" hidden="1" customHeight="1" x14ac:dyDescent="0.3">
      <c r="A81" s="267">
        <v>422</v>
      </c>
      <c r="B81" s="268" t="s">
        <v>153</v>
      </c>
      <c r="C81" s="268"/>
      <c r="D81" s="268"/>
      <c r="E81" s="354">
        <v>1296000</v>
      </c>
      <c r="F81" s="354">
        <v>1296000</v>
      </c>
      <c r="G81" s="355">
        <v>1296000</v>
      </c>
      <c r="H81" s="355"/>
      <c r="I81" s="355"/>
      <c r="J81" s="285"/>
      <c r="K81" s="274"/>
      <c r="L81" s="285"/>
      <c r="M81" s="285"/>
      <c r="N81" s="285"/>
      <c r="O81" s="285"/>
      <c r="P81" s="285"/>
      <c r="S81" s="284"/>
    </row>
    <row r="82" spans="1:19" ht="13.5" hidden="1" customHeight="1" x14ac:dyDescent="0.3">
      <c r="A82" s="267">
        <v>424</v>
      </c>
      <c r="B82" s="268" t="s">
        <v>170</v>
      </c>
      <c r="C82" s="268"/>
      <c r="D82" s="268"/>
      <c r="E82" s="354">
        <v>4000</v>
      </c>
      <c r="F82" s="354">
        <v>4000</v>
      </c>
      <c r="G82" s="355">
        <v>4000</v>
      </c>
      <c r="H82" s="355"/>
      <c r="I82" s="355"/>
      <c r="J82" s="285"/>
      <c r="K82" s="274"/>
      <c r="L82" s="285"/>
      <c r="M82" s="285"/>
      <c r="N82" s="285"/>
      <c r="O82" s="285"/>
      <c r="P82" s="285"/>
      <c r="S82" s="284"/>
    </row>
    <row r="83" spans="1:19" ht="15.6" hidden="1" customHeight="1" x14ac:dyDescent="0.3">
      <c r="A83" s="269">
        <v>426</v>
      </c>
      <c r="B83" s="270" t="s">
        <v>160</v>
      </c>
      <c r="C83" s="270"/>
      <c r="D83" s="270"/>
      <c r="E83" s="356">
        <v>200000</v>
      </c>
      <c r="F83" s="356">
        <v>200000</v>
      </c>
      <c r="G83" s="357">
        <v>200000</v>
      </c>
      <c r="H83" s="357"/>
      <c r="I83" s="357"/>
      <c r="J83" s="285"/>
      <c r="K83" s="274"/>
      <c r="L83" s="285"/>
      <c r="M83" s="285"/>
      <c r="N83" s="285"/>
      <c r="O83" s="285"/>
      <c r="P83" s="285"/>
      <c r="S83" s="284"/>
    </row>
    <row r="84" spans="1:19" s="279" customFormat="1" ht="15.6" hidden="1" customHeight="1" x14ac:dyDescent="0.3">
      <c r="A84" s="627" t="s">
        <v>235</v>
      </c>
      <c r="B84" s="628"/>
      <c r="C84" s="293"/>
      <c r="D84" s="293"/>
      <c r="E84" s="350">
        <f>SUM(E75,E78,E80)</f>
        <v>2600000</v>
      </c>
      <c r="F84" s="350">
        <f>SUM(F75,F78,F80)</f>
        <v>2600000</v>
      </c>
      <c r="G84" s="350">
        <f>SUM(G75,G78,G80)</f>
        <v>2600000</v>
      </c>
      <c r="H84" s="350"/>
      <c r="I84" s="350"/>
      <c r="J84" s="274"/>
      <c r="K84" s="274"/>
      <c r="L84" s="274"/>
      <c r="M84" s="274"/>
      <c r="N84" s="274"/>
      <c r="O84" s="274"/>
      <c r="P84" s="274"/>
      <c r="Q84" s="305" t="e">
        <f>SUM(Q75,Q78,#REF!,#REF!,Q80)</f>
        <v>#REF!</v>
      </c>
      <c r="R84" s="272" t="e">
        <f>SUM(R75,R78,#REF!,#REF!,R80)</f>
        <v>#REF!</v>
      </c>
      <c r="S84" s="272" t="e">
        <f>SUM(S75,S78,#REF!,#REF!,S80)</f>
        <v>#REF!</v>
      </c>
    </row>
    <row r="85" spans="1:19" s="279" customFormat="1" ht="15.6" hidden="1" customHeight="1" x14ac:dyDescent="0.3">
      <c r="A85" s="273"/>
      <c r="B85" s="273"/>
      <c r="C85" s="273"/>
      <c r="D85" s="273"/>
      <c r="E85" s="351"/>
      <c r="F85" s="351"/>
      <c r="G85" s="351"/>
      <c r="H85" s="351"/>
      <c r="I85" s="351"/>
      <c r="J85" s="274"/>
      <c r="K85" s="274"/>
      <c r="L85" s="274"/>
      <c r="M85" s="274"/>
      <c r="N85" s="274"/>
      <c r="O85" s="274"/>
      <c r="P85" s="274"/>
      <c r="S85" s="284"/>
    </row>
    <row r="86" spans="1:19" s="279" customFormat="1" ht="15.6" hidden="1" customHeight="1" x14ac:dyDescent="0.3">
      <c r="A86" s="279" t="s">
        <v>210</v>
      </c>
      <c r="B86" s="273"/>
      <c r="C86" s="273"/>
      <c r="D86" s="273"/>
      <c r="E86" s="351"/>
      <c r="F86" s="351"/>
      <c r="G86" s="351"/>
      <c r="H86" s="351"/>
      <c r="I86" s="351"/>
      <c r="J86" s="274"/>
      <c r="K86" s="274"/>
      <c r="L86" s="274"/>
      <c r="M86" s="274"/>
      <c r="N86" s="274"/>
      <c r="O86" s="274"/>
      <c r="P86" s="274"/>
      <c r="S86" s="284"/>
    </row>
    <row r="87" spans="1:19" s="281" customFormat="1" ht="32.25" hidden="1" customHeight="1" x14ac:dyDescent="0.3">
      <c r="A87" s="630" t="s">
        <v>232</v>
      </c>
      <c r="B87" s="632" t="s">
        <v>201</v>
      </c>
      <c r="C87" s="261"/>
      <c r="D87" s="261"/>
      <c r="E87" s="617" t="s">
        <v>202</v>
      </c>
      <c r="F87" s="617" t="s">
        <v>203</v>
      </c>
      <c r="G87" s="617" t="s">
        <v>204</v>
      </c>
      <c r="H87" s="617"/>
      <c r="I87" s="617"/>
      <c r="J87" s="639"/>
      <c r="K87" s="640"/>
      <c r="L87" s="640"/>
      <c r="M87" s="640"/>
      <c r="N87" s="640"/>
      <c r="O87" s="634"/>
      <c r="P87" s="634"/>
      <c r="Q87" s="280" t="s">
        <v>214</v>
      </c>
      <c r="R87" s="280" t="s">
        <v>215</v>
      </c>
    </row>
    <row r="88" spans="1:19" s="281" customFormat="1" ht="15" hidden="1" customHeight="1" x14ac:dyDescent="0.3">
      <c r="A88" s="631"/>
      <c r="B88" s="633"/>
      <c r="C88" s="262"/>
      <c r="D88" s="262"/>
      <c r="E88" s="618"/>
      <c r="F88" s="618"/>
      <c r="G88" s="618"/>
      <c r="H88" s="618"/>
      <c r="I88" s="618"/>
      <c r="J88" s="639"/>
      <c r="K88" s="640"/>
      <c r="L88" s="640"/>
      <c r="M88" s="640"/>
      <c r="N88" s="640"/>
      <c r="O88" s="634"/>
      <c r="P88" s="634"/>
      <c r="Q88" s="282"/>
      <c r="R88" s="282"/>
    </row>
    <row r="89" spans="1:19" s="284" customFormat="1" ht="14.25" hidden="1" customHeight="1" x14ac:dyDescent="0.3">
      <c r="A89" s="306">
        <v>31</v>
      </c>
      <c r="B89" s="264" t="s">
        <v>21</v>
      </c>
      <c r="C89" s="264"/>
      <c r="D89" s="264"/>
      <c r="E89" s="344">
        <f>SUM(E90:E92)</f>
        <v>93562200</v>
      </c>
      <c r="F89" s="344">
        <f>SUM(F90:F92)</f>
        <v>93562200</v>
      </c>
      <c r="G89" s="345">
        <f>SUM(G90:G92)</f>
        <v>93562200</v>
      </c>
      <c r="H89" s="345"/>
      <c r="I89" s="345"/>
      <c r="J89" s="274"/>
      <c r="K89" s="274"/>
      <c r="L89" s="274"/>
      <c r="M89" s="274"/>
      <c r="N89" s="274"/>
      <c r="O89" s="274"/>
      <c r="P89" s="274"/>
      <c r="Q89" s="307">
        <f>SUM(Q90:Q92)</f>
        <v>0</v>
      </c>
      <c r="R89" s="308">
        <f>SUM(R90:R92)</f>
        <v>0</v>
      </c>
      <c r="S89" s="284">
        <f>SUM(F89:M89)</f>
        <v>187124400</v>
      </c>
    </row>
    <row r="90" spans="1:19" ht="14.25" hidden="1" customHeight="1" x14ac:dyDescent="0.3">
      <c r="A90" s="302">
        <v>311</v>
      </c>
      <c r="B90" s="268" t="s">
        <v>237</v>
      </c>
      <c r="C90" s="268"/>
      <c r="D90" s="268"/>
      <c r="E90" s="354">
        <v>78040000</v>
      </c>
      <c r="F90" s="365">
        <v>78040000</v>
      </c>
      <c r="G90" s="355">
        <v>78040000</v>
      </c>
      <c r="H90" s="355"/>
      <c r="I90" s="355"/>
      <c r="J90" s="285"/>
      <c r="K90" s="285"/>
      <c r="L90" s="285"/>
      <c r="M90" s="285"/>
      <c r="N90" s="285"/>
      <c r="O90" s="285"/>
      <c r="P90" s="285"/>
      <c r="Q90" s="256">
        <v>0</v>
      </c>
      <c r="R90" s="256">
        <v>0</v>
      </c>
      <c r="S90" s="284"/>
    </row>
    <row r="91" spans="1:19" ht="14.25" hidden="1" customHeight="1" x14ac:dyDescent="0.3">
      <c r="A91" s="267">
        <v>312</v>
      </c>
      <c r="B91" s="268" t="s">
        <v>238</v>
      </c>
      <c r="C91" s="268"/>
      <c r="D91" s="268"/>
      <c r="E91" s="354">
        <v>2356200</v>
      </c>
      <c r="F91" s="365">
        <v>2356200</v>
      </c>
      <c r="G91" s="355">
        <v>2356200</v>
      </c>
      <c r="H91" s="355"/>
      <c r="I91" s="355"/>
      <c r="J91" s="285"/>
      <c r="K91" s="285"/>
      <c r="L91" s="285"/>
      <c r="M91" s="285"/>
      <c r="N91" s="285"/>
      <c r="O91" s="285"/>
      <c r="P91" s="285"/>
      <c r="Q91" s="256">
        <v>0</v>
      </c>
      <c r="R91" s="256">
        <v>0</v>
      </c>
      <c r="S91" s="284"/>
    </row>
    <row r="92" spans="1:19" ht="18.75" hidden="1" customHeight="1" x14ac:dyDescent="0.3">
      <c r="A92" s="267">
        <v>313</v>
      </c>
      <c r="B92" s="268" t="s">
        <v>165</v>
      </c>
      <c r="C92" s="268"/>
      <c r="D92" s="268"/>
      <c r="E92" s="354">
        <v>13166000</v>
      </c>
      <c r="F92" s="365">
        <v>13166000</v>
      </c>
      <c r="G92" s="355">
        <v>13166000</v>
      </c>
      <c r="H92" s="355"/>
      <c r="I92" s="355"/>
      <c r="J92" s="285"/>
      <c r="K92" s="285"/>
      <c r="L92" s="285"/>
      <c r="M92" s="285"/>
      <c r="N92" s="285"/>
      <c r="O92" s="285"/>
      <c r="P92" s="285"/>
      <c r="Q92" s="256">
        <v>0</v>
      </c>
      <c r="R92" s="256">
        <v>0</v>
      </c>
      <c r="S92" s="284"/>
    </row>
    <row r="93" spans="1:19" s="284" customFormat="1" ht="15.75" hidden="1" customHeight="1" x14ac:dyDescent="0.3">
      <c r="A93" s="275">
        <v>32</v>
      </c>
      <c r="B93" s="276" t="s">
        <v>33</v>
      </c>
      <c r="C93" s="276"/>
      <c r="D93" s="276"/>
      <c r="E93" s="352">
        <f>SUM(E94:E97)</f>
        <v>39696515</v>
      </c>
      <c r="F93" s="352">
        <f>SUM(F94:F97)</f>
        <v>38921220</v>
      </c>
      <c r="G93" s="353">
        <f>SUM(G94:G97)</f>
        <v>38911220</v>
      </c>
      <c r="H93" s="353"/>
      <c r="I93" s="353"/>
      <c r="J93" s="274"/>
      <c r="K93" s="274"/>
      <c r="L93" s="274"/>
      <c r="M93" s="274"/>
      <c r="N93" s="274"/>
      <c r="O93" s="274"/>
      <c r="P93" s="274"/>
      <c r="Q93" s="284">
        <v>0</v>
      </c>
      <c r="R93" s="284">
        <v>0</v>
      </c>
      <c r="S93" s="284">
        <f>SUM(F93:M93)</f>
        <v>77832440</v>
      </c>
    </row>
    <row r="94" spans="1:19" ht="21" hidden="1" customHeight="1" x14ac:dyDescent="0.3">
      <c r="A94" s="267">
        <v>321</v>
      </c>
      <c r="B94" s="268" t="s">
        <v>150</v>
      </c>
      <c r="C94" s="268"/>
      <c r="D94" s="268"/>
      <c r="E94" s="354">
        <v>2634538</v>
      </c>
      <c r="F94" s="365">
        <v>2634538</v>
      </c>
      <c r="G94" s="347">
        <v>2634538</v>
      </c>
      <c r="H94" s="347"/>
      <c r="I94" s="347"/>
      <c r="J94" s="285"/>
      <c r="K94" s="285"/>
      <c r="L94" s="285"/>
      <c r="M94" s="285"/>
      <c r="N94" s="285"/>
      <c r="O94" s="285"/>
      <c r="P94" s="285"/>
      <c r="Q94" s="256">
        <v>0</v>
      </c>
      <c r="R94" s="256">
        <v>0</v>
      </c>
      <c r="S94" s="284"/>
    </row>
    <row r="95" spans="1:19" ht="14.25" hidden="1" customHeight="1" x14ac:dyDescent="0.3">
      <c r="A95" s="267">
        <v>322</v>
      </c>
      <c r="B95" s="268" t="s">
        <v>151</v>
      </c>
      <c r="C95" s="268"/>
      <c r="D95" s="268"/>
      <c r="E95" s="354">
        <f>32727000-1326966</f>
        <v>31400034</v>
      </c>
      <c r="F95" s="354">
        <f>32727000-1327265</f>
        <v>31399735</v>
      </c>
      <c r="G95" s="347">
        <f>32727000-1316965</f>
        <v>31410035</v>
      </c>
      <c r="H95" s="347"/>
      <c r="I95" s="347"/>
      <c r="J95" s="285"/>
      <c r="K95" s="285"/>
      <c r="L95" s="285"/>
      <c r="M95" s="285"/>
      <c r="N95" s="285"/>
      <c r="O95" s="285"/>
      <c r="P95" s="285"/>
      <c r="Q95" s="256">
        <v>0</v>
      </c>
      <c r="R95" s="256">
        <v>0</v>
      </c>
      <c r="S95" s="284"/>
    </row>
    <row r="96" spans="1:19" ht="18" hidden="1" customHeight="1" x14ac:dyDescent="0.3">
      <c r="A96" s="267">
        <v>323</v>
      </c>
      <c r="B96" s="268" t="s">
        <v>152</v>
      </c>
      <c r="C96" s="268"/>
      <c r="D96" s="268"/>
      <c r="E96" s="354">
        <f>5336877-76559</f>
        <v>5260318</v>
      </c>
      <c r="F96" s="354">
        <f>5336877-851555</f>
        <v>4485322</v>
      </c>
      <c r="G96" s="347">
        <f>5336877-871855</f>
        <v>4465022</v>
      </c>
      <c r="H96" s="347"/>
      <c r="I96" s="347"/>
      <c r="J96" s="285"/>
      <c r="K96" s="285"/>
      <c r="L96" s="285"/>
      <c r="M96" s="285"/>
      <c r="N96" s="285"/>
      <c r="O96" s="285"/>
      <c r="P96" s="285"/>
      <c r="S96" s="284"/>
    </row>
    <row r="97" spans="1:19" ht="15.6" hidden="1" customHeight="1" x14ac:dyDescent="0.3">
      <c r="A97" s="267">
        <v>329</v>
      </c>
      <c r="B97" s="268" t="s">
        <v>138</v>
      </c>
      <c r="C97" s="268"/>
      <c r="D97" s="268"/>
      <c r="E97" s="354">
        <v>401625</v>
      </c>
      <c r="F97" s="354">
        <v>401625</v>
      </c>
      <c r="G97" s="347">
        <v>401625</v>
      </c>
      <c r="H97" s="347"/>
      <c r="I97" s="347"/>
      <c r="J97" s="285"/>
      <c r="K97" s="285"/>
      <c r="L97" s="285"/>
      <c r="M97" s="285"/>
      <c r="N97" s="285"/>
      <c r="O97" s="285"/>
      <c r="P97" s="285"/>
      <c r="S97" s="284"/>
    </row>
    <row r="98" spans="1:19" s="284" customFormat="1" ht="15.6" hidden="1" customHeight="1" x14ac:dyDescent="0.3">
      <c r="A98" s="275">
        <v>34</v>
      </c>
      <c r="B98" s="276" t="s">
        <v>57</v>
      </c>
      <c r="C98" s="276"/>
      <c r="D98" s="276"/>
      <c r="E98" s="352">
        <f>SUM(E99:E100)</f>
        <v>500000</v>
      </c>
      <c r="F98" s="352">
        <f>SUM(F99:F100)</f>
        <v>500000</v>
      </c>
      <c r="G98" s="353">
        <f>SUM(G99:G100)</f>
        <v>500000</v>
      </c>
      <c r="H98" s="353"/>
      <c r="I98" s="353"/>
      <c r="J98" s="274"/>
      <c r="K98" s="274"/>
      <c r="L98" s="274"/>
      <c r="M98" s="274"/>
      <c r="N98" s="274"/>
      <c r="O98" s="274"/>
      <c r="P98" s="274"/>
      <c r="S98" s="284">
        <f>SUM(F98:M98)</f>
        <v>1000000</v>
      </c>
    </row>
    <row r="99" spans="1:19" ht="15.6" hidden="1" customHeight="1" x14ac:dyDescent="0.3">
      <c r="A99" s="267">
        <v>342</v>
      </c>
      <c r="B99" s="268" t="s">
        <v>239</v>
      </c>
      <c r="C99" s="268"/>
      <c r="D99" s="268"/>
      <c r="E99" s="354">
        <v>100000</v>
      </c>
      <c r="F99" s="354">
        <v>100000</v>
      </c>
      <c r="G99" s="355">
        <v>100000</v>
      </c>
      <c r="H99" s="355"/>
      <c r="I99" s="355"/>
      <c r="J99" s="285"/>
      <c r="K99" s="285"/>
      <c r="L99" s="285"/>
      <c r="M99" s="285"/>
      <c r="N99" s="285"/>
      <c r="O99" s="285"/>
      <c r="P99" s="285"/>
    </row>
    <row r="100" spans="1:19" ht="15.6" hidden="1" customHeight="1" x14ac:dyDescent="0.3">
      <c r="A100" s="267">
        <v>343</v>
      </c>
      <c r="B100" s="268" t="s">
        <v>159</v>
      </c>
      <c r="C100" s="268"/>
      <c r="D100" s="268"/>
      <c r="E100" s="354">
        <v>400000</v>
      </c>
      <c r="F100" s="354">
        <v>400000</v>
      </c>
      <c r="G100" s="347">
        <v>400000</v>
      </c>
      <c r="H100" s="347"/>
      <c r="I100" s="347"/>
      <c r="J100" s="285"/>
      <c r="K100" s="285"/>
      <c r="L100" s="285"/>
      <c r="M100" s="285"/>
      <c r="N100" s="285"/>
      <c r="O100" s="285"/>
      <c r="P100" s="285"/>
      <c r="S100" s="284"/>
    </row>
    <row r="101" spans="1:19" s="284" customFormat="1" ht="31.2" hidden="1" customHeight="1" x14ac:dyDescent="0.3">
      <c r="A101" s="275">
        <v>37</v>
      </c>
      <c r="B101" s="276" t="s">
        <v>63</v>
      </c>
      <c r="C101" s="276"/>
      <c r="D101" s="276"/>
      <c r="E101" s="352">
        <f>SUM(E102)</f>
        <v>120000</v>
      </c>
      <c r="F101" s="352">
        <f>SUM(F102)</f>
        <v>120000</v>
      </c>
      <c r="G101" s="353">
        <f>SUM(G102)</f>
        <v>120000</v>
      </c>
      <c r="H101" s="353"/>
      <c r="I101" s="353"/>
      <c r="J101" s="274"/>
      <c r="K101" s="274"/>
      <c r="L101" s="274"/>
      <c r="M101" s="274"/>
      <c r="N101" s="274"/>
      <c r="O101" s="274"/>
      <c r="P101" s="274"/>
    </row>
    <row r="102" spans="1:19" ht="31.2" hidden="1" customHeight="1" x14ac:dyDescent="0.3">
      <c r="A102" s="269">
        <v>372</v>
      </c>
      <c r="B102" s="270" t="s">
        <v>192</v>
      </c>
      <c r="C102" s="270"/>
      <c r="D102" s="270"/>
      <c r="E102" s="356">
        <v>120000</v>
      </c>
      <c r="F102" s="356">
        <v>120000</v>
      </c>
      <c r="G102" s="349">
        <v>120000</v>
      </c>
      <c r="H102" s="349"/>
      <c r="I102" s="349"/>
      <c r="J102" s="285"/>
      <c r="K102" s="285"/>
      <c r="L102" s="285"/>
      <c r="M102" s="285"/>
      <c r="N102" s="285"/>
      <c r="O102" s="285"/>
      <c r="P102" s="285"/>
      <c r="S102" s="284"/>
    </row>
    <row r="103" spans="1:19" s="279" customFormat="1" ht="15.75" hidden="1" customHeight="1" x14ac:dyDescent="0.3">
      <c r="A103" s="627" t="s">
        <v>235</v>
      </c>
      <c r="B103" s="628"/>
      <c r="C103" s="293"/>
      <c r="D103" s="293"/>
      <c r="E103" s="350">
        <f>SUM(E89,E93,E98,E101)</f>
        <v>133878715</v>
      </c>
      <c r="F103" s="350">
        <f>SUM(F89,F93,F98,F101)</f>
        <v>133103420</v>
      </c>
      <c r="G103" s="350">
        <f>SUM(G89,G93,G98,G101)</f>
        <v>133093420</v>
      </c>
      <c r="H103" s="350"/>
      <c r="I103" s="350"/>
      <c r="J103" s="274"/>
      <c r="K103" s="274"/>
      <c r="L103" s="274"/>
      <c r="M103" s="274"/>
      <c r="N103" s="274"/>
      <c r="O103" s="274"/>
      <c r="P103" s="274"/>
      <c r="Q103" s="305" t="e">
        <f>SUM(Q89,Q93,Q98,#REF!,#REF!)</f>
        <v>#REF!</v>
      </c>
      <c r="R103" s="272" t="e">
        <f>SUM(R89,R93,R98,#REF!,#REF!)</f>
        <v>#REF!</v>
      </c>
      <c r="S103" s="272" t="e">
        <f>SUM(S89,S93,S98,#REF!,#REF!)</f>
        <v>#REF!</v>
      </c>
    </row>
    <row r="104" spans="1:19" s="279" customFormat="1" ht="15.6" hidden="1" customHeight="1" x14ac:dyDescent="0.3">
      <c r="A104" s="273"/>
      <c r="B104" s="273"/>
      <c r="C104" s="273"/>
      <c r="D104" s="273"/>
      <c r="E104" s="351"/>
      <c r="F104" s="351"/>
      <c r="G104" s="351"/>
      <c r="H104" s="351"/>
      <c r="I104" s="351"/>
      <c r="J104" s="274"/>
      <c r="K104" s="274"/>
      <c r="L104" s="274"/>
      <c r="M104" s="274"/>
      <c r="N104" s="274"/>
      <c r="O104" s="274"/>
      <c r="P104" s="274"/>
      <c r="S104" s="284"/>
    </row>
    <row r="105" spans="1:19" s="279" customFormat="1" ht="15.6" hidden="1" customHeight="1" x14ac:dyDescent="0.3">
      <c r="A105" s="279" t="s">
        <v>240</v>
      </c>
      <c r="B105" s="273"/>
      <c r="C105" s="273"/>
      <c r="D105" s="273"/>
      <c r="E105" s="351"/>
      <c r="F105" s="351"/>
      <c r="G105" s="351"/>
      <c r="H105" s="351"/>
      <c r="I105" s="351"/>
      <c r="J105" s="274"/>
      <c r="K105" s="274"/>
      <c r="L105" s="274"/>
      <c r="M105" s="274"/>
      <c r="N105" s="274"/>
      <c r="O105" s="274"/>
      <c r="P105" s="274"/>
      <c r="S105" s="284"/>
    </row>
    <row r="106" spans="1:19" s="281" customFormat="1" ht="32.25" hidden="1" customHeight="1" x14ac:dyDescent="0.3">
      <c r="A106" s="630" t="s">
        <v>232</v>
      </c>
      <c r="B106" s="632" t="s">
        <v>201</v>
      </c>
      <c r="C106" s="261"/>
      <c r="D106" s="261"/>
      <c r="E106" s="617" t="s">
        <v>202</v>
      </c>
      <c r="F106" s="617" t="s">
        <v>203</v>
      </c>
      <c r="G106" s="617" t="s">
        <v>204</v>
      </c>
      <c r="H106" s="617"/>
      <c r="I106" s="617"/>
      <c r="J106" s="639"/>
      <c r="K106" s="640"/>
      <c r="L106" s="640"/>
      <c r="M106" s="640"/>
      <c r="N106" s="640"/>
      <c r="O106" s="634"/>
      <c r="P106" s="634"/>
      <c r="Q106" s="280" t="s">
        <v>214</v>
      </c>
      <c r="R106" s="280" t="s">
        <v>215</v>
      </c>
    </row>
    <row r="107" spans="1:19" s="281" customFormat="1" ht="15" hidden="1" customHeight="1" x14ac:dyDescent="0.3">
      <c r="A107" s="631"/>
      <c r="B107" s="633"/>
      <c r="C107" s="262"/>
      <c r="D107" s="262"/>
      <c r="E107" s="618"/>
      <c r="F107" s="618"/>
      <c r="G107" s="618"/>
      <c r="H107" s="618"/>
      <c r="I107" s="618"/>
      <c r="J107" s="639"/>
      <c r="K107" s="640"/>
      <c r="L107" s="640"/>
      <c r="M107" s="640"/>
      <c r="N107" s="640"/>
      <c r="O107" s="634"/>
      <c r="P107" s="634"/>
      <c r="Q107" s="282"/>
      <c r="R107" s="282"/>
    </row>
    <row r="108" spans="1:19" s="284" customFormat="1" ht="15.75" hidden="1" customHeight="1" x14ac:dyDescent="0.3">
      <c r="A108" s="263">
        <v>32</v>
      </c>
      <c r="B108" s="264" t="s">
        <v>33</v>
      </c>
      <c r="C108" s="264"/>
      <c r="D108" s="264"/>
      <c r="E108" s="344">
        <f>SUM(E109:E110)</f>
        <v>719740</v>
      </c>
      <c r="F108" s="344">
        <f>SUM(F109:F110)</f>
        <v>650000</v>
      </c>
      <c r="G108" s="345">
        <f>SUM(G109:G110)</f>
        <v>650000</v>
      </c>
      <c r="H108" s="345"/>
      <c r="I108" s="345"/>
      <c r="J108" s="274"/>
      <c r="K108" s="274"/>
      <c r="L108" s="274"/>
      <c r="M108" s="274"/>
      <c r="N108" s="274"/>
      <c r="O108" s="274"/>
      <c r="P108" s="274"/>
      <c r="Q108" s="284">
        <v>0</v>
      </c>
      <c r="R108" s="284">
        <v>0</v>
      </c>
      <c r="S108" s="284">
        <f>SUM(F108:M108)</f>
        <v>1300000</v>
      </c>
    </row>
    <row r="109" spans="1:19" ht="14.25" hidden="1" customHeight="1" x14ac:dyDescent="0.3">
      <c r="A109" s="267">
        <v>321</v>
      </c>
      <c r="B109" s="268" t="s">
        <v>150</v>
      </c>
      <c r="C109" s="268"/>
      <c r="D109" s="268"/>
      <c r="E109" s="354">
        <v>52940</v>
      </c>
      <c r="F109" s="365">
        <v>50000</v>
      </c>
      <c r="G109" s="366">
        <v>50000</v>
      </c>
      <c r="H109" s="366"/>
      <c r="I109" s="366"/>
      <c r="J109" s="285"/>
      <c r="K109" s="285"/>
      <c r="L109" s="285"/>
      <c r="M109" s="285"/>
      <c r="N109" s="285"/>
      <c r="O109" s="285"/>
      <c r="P109" s="285"/>
      <c r="Q109" s="256">
        <v>0</v>
      </c>
      <c r="R109" s="256">
        <v>0</v>
      </c>
      <c r="S109" s="284"/>
    </row>
    <row r="110" spans="1:19" ht="14.25" hidden="1" customHeight="1" x14ac:dyDescent="0.3">
      <c r="A110" s="267">
        <v>322</v>
      </c>
      <c r="B110" s="268" t="s">
        <v>151</v>
      </c>
      <c r="C110" s="268"/>
      <c r="D110" s="268"/>
      <c r="E110" s="354">
        <f>690240-23440</f>
        <v>666800</v>
      </c>
      <c r="F110" s="354">
        <v>600000</v>
      </c>
      <c r="G110" s="366">
        <v>600000</v>
      </c>
      <c r="H110" s="366"/>
      <c r="I110" s="366"/>
      <c r="J110" s="285"/>
      <c r="K110" s="285"/>
      <c r="L110" s="285"/>
      <c r="M110" s="285"/>
      <c r="N110" s="285"/>
      <c r="O110" s="285"/>
      <c r="P110" s="285"/>
      <c r="Q110" s="256">
        <v>0</v>
      </c>
      <c r="R110" s="256">
        <v>0</v>
      </c>
      <c r="S110" s="284"/>
    </row>
    <row r="111" spans="1:19" ht="15" hidden="1" customHeight="1" x14ac:dyDescent="0.3">
      <c r="A111" s="275">
        <v>42</v>
      </c>
      <c r="B111" s="276" t="s">
        <v>40</v>
      </c>
      <c r="C111" s="276"/>
      <c r="D111" s="276"/>
      <c r="E111" s="352">
        <f>SUM(E112:E113)</f>
        <v>421000</v>
      </c>
      <c r="F111" s="352">
        <f>SUM(F112:F113)</f>
        <v>350000</v>
      </c>
      <c r="G111" s="353">
        <f>SUM(G112:G113)</f>
        <v>350000</v>
      </c>
      <c r="H111" s="353"/>
      <c r="I111" s="353"/>
      <c r="J111" s="274"/>
      <c r="K111" s="274"/>
      <c r="L111" s="274"/>
      <c r="M111" s="274"/>
      <c r="N111" s="274"/>
      <c r="O111" s="274"/>
      <c r="P111" s="274"/>
      <c r="S111" s="284">
        <f>SUM(F111:M111)</f>
        <v>700000</v>
      </c>
    </row>
    <row r="112" spans="1:19" ht="15.6" hidden="1" customHeight="1" x14ac:dyDescent="0.3">
      <c r="A112" s="267">
        <v>422</v>
      </c>
      <c r="B112" s="268" t="s">
        <v>153</v>
      </c>
      <c r="C112" s="268"/>
      <c r="D112" s="268"/>
      <c r="E112" s="354">
        <v>420000</v>
      </c>
      <c r="F112" s="354">
        <v>350000</v>
      </c>
      <c r="G112" s="355">
        <v>350000</v>
      </c>
      <c r="H112" s="355"/>
      <c r="I112" s="355"/>
      <c r="J112" s="285"/>
      <c r="K112" s="285"/>
      <c r="L112" s="285"/>
      <c r="M112" s="285"/>
      <c r="N112" s="285"/>
      <c r="O112" s="285"/>
      <c r="P112" s="285"/>
      <c r="S112" s="284"/>
    </row>
    <row r="113" spans="1:19" ht="31.2" hidden="1" customHeight="1" x14ac:dyDescent="0.3">
      <c r="A113" s="269">
        <v>424</v>
      </c>
      <c r="B113" s="270" t="s">
        <v>170</v>
      </c>
      <c r="C113" s="270"/>
      <c r="D113" s="270"/>
      <c r="E113" s="356">
        <v>1000</v>
      </c>
      <c r="F113" s="356"/>
      <c r="G113" s="357"/>
      <c r="H113" s="357"/>
      <c r="I113" s="357"/>
      <c r="J113" s="285"/>
      <c r="K113" s="285"/>
      <c r="L113" s="285"/>
      <c r="M113" s="285"/>
      <c r="N113" s="285"/>
      <c r="O113" s="285"/>
      <c r="P113" s="285"/>
    </row>
    <row r="114" spans="1:19" s="279" customFormat="1" ht="15.6" hidden="1" customHeight="1" x14ac:dyDescent="0.3">
      <c r="A114" s="627" t="s">
        <v>235</v>
      </c>
      <c r="B114" s="628"/>
      <c r="C114" s="293"/>
      <c r="D114" s="293"/>
      <c r="E114" s="350">
        <f>SUM(E108,E111)</f>
        <v>1140740</v>
      </c>
      <c r="F114" s="350">
        <f>SUM(F108,F111)</f>
        <v>1000000</v>
      </c>
      <c r="G114" s="350">
        <f>SUM(G108,G111)</f>
        <v>1000000</v>
      </c>
      <c r="H114" s="350"/>
      <c r="I114" s="350"/>
      <c r="J114" s="274"/>
      <c r="K114" s="274"/>
      <c r="L114" s="274"/>
      <c r="M114" s="274"/>
      <c r="N114" s="274"/>
      <c r="O114" s="274"/>
      <c r="P114" s="274"/>
      <c r="Q114" s="305" t="e">
        <f>SUM(#REF!,Q108,#REF!,#REF!,Q111)</f>
        <v>#REF!</v>
      </c>
      <c r="R114" s="272" t="e">
        <f>SUM(#REF!,R108,#REF!,#REF!,R111)</f>
        <v>#REF!</v>
      </c>
      <c r="S114" s="272" t="e">
        <f>SUM(#REF!,S108,#REF!,#REF!,S111)</f>
        <v>#REF!</v>
      </c>
    </row>
    <row r="115" spans="1:19" ht="27.75" hidden="1" customHeight="1" x14ac:dyDescent="0.3">
      <c r="A115" s="311">
        <v>3212</v>
      </c>
      <c r="B115" s="312" t="s">
        <v>167</v>
      </c>
      <c r="C115" s="312"/>
      <c r="D115" s="312"/>
      <c r="E115" s="367">
        <f>SUM(F115:N115)</f>
        <v>0</v>
      </c>
      <c r="F115" s="365"/>
      <c r="G115" s="365"/>
      <c r="H115" s="365"/>
      <c r="I115" s="365"/>
      <c r="J115" s="393"/>
      <c r="K115" s="314"/>
      <c r="L115" s="314"/>
      <c r="M115" s="314"/>
      <c r="N115" s="314"/>
      <c r="O115" s="314"/>
      <c r="P115" s="315"/>
      <c r="Q115" s="256">
        <v>0</v>
      </c>
      <c r="R115" s="256">
        <v>0</v>
      </c>
    </row>
    <row r="116" spans="1:19" ht="14.25" hidden="1" customHeight="1" x14ac:dyDescent="0.3">
      <c r="A116" s="311">
        <v>3213</v>
      </c>
      <c r="B116" s="312" t="s">
        <v>125</v>
      </c>
      <c r="C116" s="312"/>
      <c r="D116" s="312"/>
      <c r="E116" s="367">
        <f>SUM(F116:N116)</f>
        <v>0</v>
      </c>
      <c r="F116" s="365"/>
      <c r="G116" s="365"/>
      <c r="H116" s="365"/>
      <c r="I116" s="365"/>
      <c r="J116" s="313"/>
      <c r="K116" s="309"/>
      <c r="L116" s="309"/>
      <c r="M116" s="309"/>
      <c r="N116" s="309"/>
      <c r="O116" s="309"/>
      <c r="P116" s="316"/>
      <c r="Q116" s="256">
        <v>0</v>
      </c>
      <c r="R116" s="256">
        <v>0</v>
      </c>
    </row>
    <row r="117" spans="1:19" ht="14.25" hidden="1" customHeight="1" x14ac:dyDescent="0.3">
      <c r="A117" s="275">
        <v>322</v>
      </c>
      <c r="B117" s="276" t="s">
        <v>151</v>
      </c>
      <c r="C117" s="276"/>
      <c r="D117" s="276"/>
      <c r="E117" s="368">
        <f>SUM(F117:N117)</f>
        <v>0</v>
      </c>
      <c r="F117" s="352">
        <f>SUM(F118)</f>
        <v>0</v>
      </c>
      <c r="G117" s="352">
        <f t="shared" ref="G117:P117" si="0">SUM(G118)</f>
        <v>0</v>
      </c>
      <c r="H117" s="352">
        <f t="shared" si="0"/>
        <v>0</v>
      </c>
      <c r="I117" s="352">
        <f t="shared" si="0"/>
        <v>0</v>
      </c>
      <c r="J117" s="277">
        <f>SUM(J118)</f>
        <v>0</v>
      </c>
      <c r="K117" s="277">
        <f t="shared" si="0"/>
        <v>0</v>
      </c>
      <c r="L117" s="277">
        <f t="shared" si="0"/>
        <v>0</v>
      </c>
      <c r="M117" s="277">
        <f t="shared" si="0"/>
        <v>0</v>
      </c>
      <c r="N117" s="277">
        <f t="shared" si="0"/>
        <v>0</v>
      </c>
      <c r="O117" s="277">
        <f t="shared" si="0"/>
        <v>0</v>
      </c>
      <c r="P117" s="278">
        <f t="shared" si="0"/>
        <v>0</v>
      </c>
      <c r="Q117" s="256">
        <v>0</v>
      </c>
      <c r="R117" s="256">
        <v>0</v>
      </c>
    </row>
    <row r="118" spans="1:19" ht="14.25" hidden="1" customHeight="1" x14ac:dyDescent="0.3">
      <c r="A118" s="317">
        <v>3225</v>
      </c>
      <c r="B118" s="318" t="s">
        <v>127</v>
      </c>
      <c r="C118" s="318"/>
      <c r="D118" s="318"/>
      <c r="E118" s="369">
        <f>SUM(F118:N118)</f>
        <v>0</v>
      </c>
      <c r="F118" s="370"/>
      <c r="G118" s="371"/>
      <c r="H118" s="371"/>
      <c r="I118" s="371"/>
      <c r="J118" s="319"/>
      <c r="K118" s="321"/>
      <c r="L118" s="321"/>
      <c r="M118" s="321"/>
      <c r="N118" s="321"/>
      <c r="O118" s="320"/>
      <c r="P118" s="322"/>
      <c r="Q118" s="256">
        <v>0</v>
      </c>
      <c r="R118" s="256">
        <v>0</v>
      </c>
    </row>
    <row r="119" spans="1:19" s="279" customFormat="1" ht="15" hidden="1" customHeight="1" x14ac:dyDescent="0.3">
      <c r="A119" s="627" t="s">
        <v>235</v>
      </c>
      <c r="B119" s="628"/>
      <c r="C119" s="293"/>
      <c r="D119" s="293"/>
      <c r="E119" s="360">
        <f>SUM(E113)</f>
        <v>1000</v>
      </c>
      <c r="F119" s="360">
        <f>SUM(F113)</f>
        <v>0</v>
      </c>
      <c r="G119" s="360">
        <f t="shared" ref="G119:P119" si="1">SUM(G113)</f>
        <v>0</v>
      </c>
      <c r="H119" s="360">
        <f t="shared" ref="H119:I119" si="2">SUM(H113)</f>
        <v>0</v>
      </c>
      <c r="I119" s="360">
        <f t="shared" si="2"/>
        <v>0</v>
      </c>
      <c r="J119" s="272">
        <f>SUM(J113)</f>
        <v>0</v>
      </c>
      <c r="K119" s="294">
        <f t="shared" si="1"/>
        <v>0</v>
      </c>
      <c r="L119" s="294">
        <f t="shared" si="1"/>
        <v>0</v>
      </c>
      <c r="M119" s="294">
        <f t="shared" si="1"/>
        <v>0</v>
      </c>
      <c r="N119" s="294">
        <f>SUM(N113)</f>
        <v>0</v>
      </c>
      <c r="O119" s="294">
        <f t="shared" si="1"/>
        <v>0</v>
      </c>
      <c r="P119" s="294">
        <f t="shared" si="1"/>
        <v>0</v>
      </c>
    </row>
    <row r="120" spans="1:19" s="279" customFormat="1" ht="15.6" hidden="1" customHeight="1" x14ac:dyDescent="0.3">
      <c r="A120" s="323"/>
      <c r="B120" s="273"/>
      <c r="C120" s="273"/>
      <c r="D120" s="273"/>
      <c r="E120" s="372"/>
      <c r="F120" s="372"/>
      <c r="G120" s="372"/>
      <c r="H120" s="372"/>
      <c r="I120" s="372"/>
      <c r="J120" s="274"/>
      <c r="K120" s="300"/>
      <c r="L120" s="300"/>
      <c r="M120" s="300"/>
      <c r="N120" s="300"/>
      <c r="O120" s="300"/>
      <c r="P120" s="300"/>
    </row>
    <row r="121" spans="1:19" s="279" customFormat="1" ht="15.6" hidden="1" customHeight="1" x14ac:dyDescent="0.3">
      <c r="A121" s="649" t="s">
        <v>241</v>
      </c>
      <c r="B121" s="649"/>
      <c r="C121" s="649"/>
      <c r="D121" s="649"/>
      <c r="E121" s="649"/>
      <c r="F121" s="364" t="s">
        <v>242</v>
      </c>
      <c r="G121" s="362"/>
      <c r="H121" s="362"/>
      <c r="I121" s="362"/>
      <c r="J121" s="388"/>
      <c r="K121" s="300"/>
      <c r="L121" s="300"/>
      <c r="M121" s="300"/>
      <c r="N121" s="300"/>
      <c r="O121" s="300"/>
      <c r="P121" s="300"/>
    </row>
    <row r="122" spans="1:19" s="281" customFormat="1" ht="32.25" hidden="1" customHeight="1" x14ac:dyDescent="0.3">
      <c r="A122" s="630" t="s">
        <v>232</v>
      </c>
      <c r="B122" s="632" t="s">
        <v>201</v>
      </c>
      <c r="C122" s="261"/>
      <c r="D122" s="261"/>
      <c r="E122" s="617" t="s">
        <v>243</v>
      </c>
      <c r="F122" s="619" t="s">
        <v>16</v>
      </c>
      <c r="G122" s="619" t="s">
        <v>244</v>
      </c>
      <c r="H122" s="619" t="s">
        <v>247</v>
      </c>
      <c r="I122" s="619" t="s">
        <v>247</v>
      </c>
      <c r="J122" s="650" t="s">
        <v>245</v>
      </c>
      <c r="K122" s="643" t="s">
        <v>246</v>
      </c>
      <c r="L122" s="643" t="s">
        <v>247</v>
      </c>
      <c r="M122" s="643" t="s">
        <v>248</v>
      </c>
      <c r="N122" s="643">
        <v>922</v>
      </c>
      <c r="O122" s="645" t="s">
        <v>249</v>
      </c>
      <c r="P122" s="645" t="s">
        <v>250</v>
      </c>
      <c r="Q122" s="280" t="s">
        <v>214</v>
      </c>
      <c r="R122" s="280" t="s">
        <v>215</v>
      </c>
    </row>
    <row r="123" spans="1:19" s="281" customFormat="1" ht="65.25" hidden="1" customHeight="1" x14ac:dyDescent="0.3">
      <c r="A123" s="631"/>
      <c r="B123" s="633"/>
      <c r="C123" s="262"/>
      <c r="D123" s="262"/>
      <c r="E123" s="618"/>
      <c r="F123" s="620"/>
      <c r="G123" s="620"/>
      <c r="H123" s="620"/>
      <c r="I123" s="620"/>
      <c r="J123" s="651"/>
      <c r="K123" s="644"/>
      <c r="L123" s="644"/>
      <c r="M123" s="644"/>
      <c r="N123" s="644"/>
      <c r="O123" s="646"/>
      <c r="P123" s="646"/>
      <c r="Q123" s="282"/>
      <c r="R123" s="282"/>
    </row>
    <row r="124" spans="1:19" ht="14.25" hidden="1" customHeight="1" x14ac:dyDescent="0.3">
      <c r="A124" s="263">
        <v>32</v>
      </c>
      <c r="B124" s="264" t="s">
        <v>33</v>
      </c>
      <c r="C124" s="264"/>
      <c r="D124" s="264"/>
      <c r="E124" s="373">
        <f t="shared" ref="E124:E129" si="3">SUM(F124:N124)</f>
        <v>0</v>
      </c>
      <c r="F124" s="344">
        <f t="shared" ref="F124:L124" si="4">SUM(F125,F128)</f>
        <v>0</v>
      </c>
      <c r="G124" s="344">
        <f t="shared" si="4"/>
        <v>0</v>
      </c>
      <c r="H124" s="344">
        <f t="shared" ref="H124:I124" si="5">SUM(H125,H128)</f>
        <v>0</v>
      </c>
      <c r="I124" s="344">
        <f t="shared" si="5"/>
        <v>0</v>
      </c>
      <c r="J124" s="265">
        <f>SUM(J125,J128)</f>
        <v>0</v>
      </c>
      <c r="K124" s="265">
        <f t="shared" si="4"/>
        <v>0</v>
      </c>
      <c r="L124" s="265">
        <f t="shared" si="4"/>
        <v>0</v>
      </c>
      <c r="M124" s="265">
        <f>SUM(M125,M128)</f>
        <v>0</v>
      </c>
      <c r="N124" s="265">
        <f>SUM(N125,N128)</f>
        <v>0</v>
      </c>
      <c r="O124" s="265">
        <f>SUM(E124*1.1)</f>
        <v>0</v>
      </c>
      <c r="P124" s="266">
        <f>SUM(O124*1.099)</f>
        <v>0</v>
      </c>
      <c r="Q124" s="256">
        <v>0</v>
      </c>
      <c r="R124" s="256">
        <v>0</v>
      </c>
    </row>
    <row r="125" spans="1:19" ht="14.25" hidden="1" customHeight="1" x14ac:dyDescent="0.3">
      <c r="A125" s="275">
        <v>321</v>
      </c>
      <c r="B125" s="276" t="s">
        <v>150</v>
      </c>
      <c r="C125" s="276"/>
      <c r="D125" s="276"/>
      <c r="E125" s="368">
        <f t="shared" si="3"/>
        <v>0</v>
      </c>
      <c r="F125" s="352">
        <f t="shared" ref="F125:P125" si="6">SUM(F126:F127)</f>
        <v>0</v>
      </c>
      <c r="G125" s="352">
        <f t="shared" si="6"/>
        <v>0</v>
      </c>
      <c r="H125" s="352">
        <f t="shared" ref="H125:I125" si="7">SUM(H126:H127)</f>
        <v>0</v>
      </c>
      <c r="I125" s="352">
        <f t="shared" si="7"/>
        <v>0</v>
      </c>
      <c r="J125" s="277">
        <f>SUM(J126:J127)</f>
        <v>0</v>
      </c>
      <c r="K125" s="277">
        <f t="shared" si="6"/>
        <v>0</v>
      </c>
      <c r="L125" s="277">
        <f t="shared" si="6"/>
        <v>0</v>
      </c>
      <c r="M125" s="277">
        <f>SUM(M126:M127)</f>
        <v>0</v>
      </c>
      <c r="N125" s="277">
        <f>SUM(N126:N127)</f>
        <v>0</v>
      </c>
      <c r="O125" s="277">
        <f t="shared" si="6"/>
        <v>0</v>
      </c>
      <c r="P125" s="278">
        <f t="shared" si="6"/>
        <v>0</v>
      </c>
      <c r="Q125" s="256">
        <v>0</v>
      </c>
      <c r="R125" s="256">
        <v>0</v>
      </c>
    </row>
    <row r="126" spans="1:19" ht="27.75" hidden="1" customHeight="1" x14ac:dyDescent="0.3">
      <c r="A126" s="311">
        <v>3212</v>
      </c>
      <c r="B126" s="312" t="s">
        <v>167</v>
      </c>
      <c r="C126" s="312"/>
      <c r="D126" s="312"/>
      <c r="E126" s="367">
        <f t="shared" si="3"/>
        <v>0</v>
      </c>
      <c r="F126" s="365"/>
      <c r="G126" s="365"/>
      <c r="H126" s="365"/>
      <c r="I126" s="365"/>
      <c r="J126" s="313"/>
      <c r="K126" s="309"/>
      <c r="L126" s="309"/>
      <c r="M126" s="309"/>
      <c r="N126" s="309"/>
      <c r="O126" s="309"/>
      <c r="P126" s="316"/>
      <c r="Q126" s="256">
        <v>0</v>
      </c>
      <c r="R126" s="256">
        <v>0</v>
      </c>
    </row>
    <row r="127" spans="1:19" ht="14.25" hidden="1" customHeight="1" x14ac:dyDescent="0.3">
      <c r="A127" s="311">
        <v>3213</v>
      </c>
      <c r="B127" s="312" t="s">
        <v>125</v>
      </c>
      <c r="C127" s="312"/>
      <c r="D127" s="312"/>
      <c r="E127" s="367">
        <f t="shared" si="3"/>
        <v>0</v>
      </c>
      <c r="F127" s="365"/>
      <c r="G127" s="365"/>
      <c r="H127" s="365"/>
      <c r="I127" s="365"/>
      <c r="J127" s="313"/>
      <c r="K127" s="309"/>
      <c r="L127" s="309"/>
      <c r="M127" s="309"/>
      <c r="N127" s="309"/>
      <c r="O127" s="309"/>
      <c r="P127" s="316"/>
      <c r="Q127" s="256">
        <v>0</v>
      </c>
      <c r="R127" s="256">
        <v>0</v>
      </c>
    </row>
    <row r="128" spans="1:19" ht="14.25" hidden="1" customHeight="1" x14ac:dyDescent="0.3">
      <c r="A128" s="275">
        <v>322</v>
      </c>
      <c r="B128" s="276" t="s">
        <v>151</v>
      </c>
      <c r="C128" s="276"/>
      <c r="D128" s="276"/>
      <c r="E128" s="368">
        <f t="shared" si="3"/>
        <v>0</v>
      </c>
      <c r="F128" s="352">
        <f t="shared" ref="F128:P128" si="8">SUM(F129)</f>
        <v>0</v>
      </c>
      <c r="G128" s="352">
        <f t="shared" si="8"/>
        <v>0</v>
      </c>
      <c r="H128" s="352">
        <f t="shared" si="8"/>
        <v>0</v>
      </c>
      <c r="I128" s="352">
        <f t="shared" si="8"/>
        <v>0</v>
      </c>
      <c r="J128" s="277">
        <f>SUM(J129)</f>
        <v>0</v>
      </c>
      <c r="K128" s="277">
        <f t="shared" si="8"/>
        <v>0</v>
      </c>
      <c r="L128" s="277">
        <f t="shared" si="8"/>
        <v>0</v>
      </c>
      <c r="M128" s="277">
        <f>SUM(M129)</f>
        <v>0</v>
      </c>
      <c r="N128" s="277">
        <f>SUM(N129)</f>
        <v>0</v>
      </c>
      <c r="O128" s="277">
        <f t="shared" si="8"/>
        <v>0</v>
      </c>
      <c r="P128" s="278">
        <f t="shared" si="8"/>
        <v>0</v>
      </c>
      <c r="Q128" s="256">
        <v>0</v>
      </c>
      <c r="R128" s="256">
        <v>0</v>
      </c>
    </row>
    <row r="129" spans="1:18" ht="14.25" hidden="1" customHeight="1" x14ac:dyDescent="0.3">
      <c r="A129" s="317">
        <v>3225</v>
      </c>
      <c r="B129" s="318" t="s">
        <v>127</v>
      </c>
      <c r="C129" s="318"/>
      <c r="D129" s="318"/>
      <c r="E129" s="369">
        <f t="shared" si="3"/>
        <v>0</v>
      </c>
      <c r="F129" s="370"/>
      <c r="G129" s="371"/>
      <c r="H129" s="371"/>
      <c r="I129" s="371"/>
      <c r="J129" s="319"/>
      <c r="K129" s="321"/>
      <c r="L129" s="321"/>
      <c r="M129" s="321"/>
      <c r="N129" s="321"/>
      <c r="O129" s="320"/>
      <c r="P129" s="322"/>
      <c r="Q129" s="256">
        <v>0</v>
      </c>
      <c r="R129" s="256">
        <v>0</v>
      </c>
    </row>
    <row r="130" spans="1:18" s="279" customFormat="1" ht="15.6" hidden="1" customHeight="1" x14ac:dyDescent="0.3">
      <c r="A130" s="627" t="s">
        <v>235</v>
      </c>
      <c r="B130" s="628"/>
      <c r="C130" s="293"/>
      <c r="D130" s="293"/>
      <c r="E130" s="360">
        <f>SUM(E124)</f>
        <v>0</v>
      </c>
      <c r="F130" s="360">
        <f>SUM(F124)</f>
        <v>0</v>
      </c>
      <c r="G130" s="360">
        <f t="shared" ref="G130:P130" si="9">SUM(G124)</f>
        <v>0</v>
      </c>
      <c r="H130" s="360">
        <f t="shared" ref="H130:I130" si="10">SUM(H124)</f>
        <v>0</v>
      </c>
      <c r="I130" s="360">
        <f t="shared" si="10"/>
        <v>0</v>
      </c>
      <c r="J130" s="272">
        <f>SUM(J124)</f>
        <v>0</v>
      </c>
      <c r="K130" s="294">
        <f t="shared" si="9"/>
        <v>0</v>
      </c>
      <c r="L130" s="294">
        <f t="shared" si="9"/>
        <v>0</v>
      </c>
      <c r="M130" s="294">
        <f>SUM(M124)</f>
        <v>0</v>
      </c>
      <c r="N130" s="294">
        <f>SUM(N124)</f>
        <v>0</v>
      </c>
      <c r="O130" s="294">
        <f t="shared" si="9"/>
        <v>0</v>
      </c>
      <c r="P130" s="294">
        <f t="shared" si="9"/>
        <v>0</v>
      </c>
    </row>
    <row r="131" spans="1:18" s="279" customFormat="1" ht="15.6" hidden="1" customHeight="1" x14ac:dyDescent="0.3">
      <c r="A131" s="273"/>
      <c r="B131" s="273"/>
      <c r="C131" s="273"/>
      <c r="D131" s="273"/>
      <c r="E131" s="372"/>
      <c r="F131" s="372"/>
      <c r="G131" s="372"/>
      <c r="H131" s="372"/>
      <c r="I131" s="372"/>
      <c r="J131" s="274"/>
      <c r="K131" s="300"/>
      <c r="L131" s="300"/>
      <c r="M131" s="300"/>
      <c r="N131" s="300"/>
      <c r="O131" s="300"/>
      <c r="P131" s="300"/>
    </row>
    <row r="132" spans="1:18" s="297" customFormat="1" ht="21" hidden="1" customHeight="1" x14ac:dyDescent="0.3">
      <c r="A132" s="649" t="s">
        <v>241</v>
      </c>
      <c r="B132" s="649"/>
      <c r="C132" s="649"/>
      <c r="D132" s="649"/>
      <c r="E132" s="649"/>
      <c r="F132" s="364" t="s">
        <v>251</v>
      </c>
      <c r="G132" s="362"/>
      <c r="H132" s="362"/>
      <c r="I132" s="362"/>
      <c r="J132" s="388"/>
    </row>
    <row r="133" spans="1:18" s="281" customFormat="1" ht="32.25" hidden="1" customHeight="1" x14ac:dyDescent="0.3">
      <c r="A133" s="630" t="s">
        <v>232</v>
      </c>
      <c r="B133" s="632" t="s">
        <v>201</v>
      </c>
      <c r="C133" s="261"/>
      <c r="D133" s="261"/>
      <c r="E133" s="617" t="s">
        <v>243</v>
      </c>
      <c r="F133" s="619" t="s">
        <v>16</v>
      </c>
      <c r="G133" s="619" t="s">
        <v>244</v>
      </c>
      <c r="H133" s="619" t="s">
        <v>247</v>
      </c>
      <c r="I133" s="619" t="s">
        <v>247</v>
      </c>
      <c r="J133" s="650" t="s">
        <v>245</v>
      </c>
      <c r="K133" s="643" t="s">
        <v>246</v>
      </c>
      <c r="L133" s="643" t="s">
        <v>247</v>
      </c>
      <c r="M133" s="643" t="s">
        <v>248</v>
      </c>
      <c r="N133" s="643">
        <v>922</v>
      </c>
      <c r="O133" s="645" t="s">
        <v>249</v>
      </c>
      <c r="P133" s="645" t="s">
        <v>250</v>
      </c>
      <c r="Q133" s="280" t="s">
        <v>214</v>
      </c>
      <c r="R133" s="280" t="s">
        <v>215</v>
      </c>
    </row>
    <row r="134" spans="1:18" s="281" customFormat="1" ht="60" hidden="1" customHeight="1" x14ac:dyDescent="0.3">
      <c r="A134" s="631"/>
      <c r="B134" s="633"/>
      <c r="C134" s="262"/>
      <c r="D134" s="262"/>
      <c r="E134" s="618"/>
      <c r="F134" s="620"/>
      <c r="G134" s="620"/>
      <c r="H134" s="620"/>
      <c r="I134" s="620"/>
      <c r="J134" s="651"/>
      <c r="K134" s="644"/>
      <c r="L134" s="644"/>
      <c r="M134" s="644"/>
      <c r="N134" s="644"/>
      <c r="O134" s="646"/>
      <c r="P134" s="646"/>
      <c r="Q134" s="282"/>
      <c r="R134" s="282"/>
    </row>
    <row r="135" spans="1:18" ht="14.25" hidden="1" customHeight="1" x14ac:dyDescent="0.3">
      <c r="A135" s="263">
        <v>32</v>
      </c>
      <c r="B135" s="264" t="s">
        <v>33</v>
      </c>
      <c r="C135" s="264"/>
      <c r="D135" s="264"/>
      <c r="E135" s="373">
        <f t="shared" ref="E135:E145" si="11">SUM(F135:N135)</f>
        <v>0</v>
      </c>
      <c r="F135" s="344">
        <f>SUM(F136,F138,F142)</f>
        <v>0</v>
      </c>
      <c r="G135" s="344">
        <f t="shared" ref="G135:M135" si="12">SUM(G136,G138,G142)</f>
        <v>0</v>
      </c>
      <c r="H135" s="344">
        <f t="shared" ref="H135:I135" si="13">SUM(H136,H138,H142)</f>
        <v>0</v>
      </c>
      <c r="I135" s="344">
        <f t="shared" si="13"/>
        <v>0</v>
      </c>
      <c r="J135" s="265">
        <f>SUM(J136,J138,J142)</f>
        <v>0</v>
      </c>
      <c r="K135" s="265">
        <f t="shared" si="12"/>
        <v>0</v>
      </c>
      <c r="L135" s="265">
        <f t="shared" si="12"/>
        <v>0</v>
      </c>
      <c r="M135" s="265">
        <f t="shared" si="12"/>
        <v>0</v>
      </c>
      <c r="N135" s="265">
        <f>SUM(N136,N138,N142)</f>
        <v>0</v>
      </c>
      <c r="O135" s="265">
        <f>SUM(E135*1.1)</f>
        <v>0</v>
      </c>
      <c r="P135" s="266">
        <f>SUM(O135*1.099)</f>
        <v>0</v>
      </c>
      <c r="Q135" s="256">
        <v>0</v>
      </c>
      <c r="R135" s="256">
        <v>0</v>
      </c>
    </row>
    <row r="136" spans="1:18" ht="14.25" hidden="1" customHeight="1" x14ac:dyDescent="0.3">
      <c r="A136" s="275">
        <v>321</v>
      </c>
      <c r="B136" s="276" t="s">
        <v>150</v>
      </c>
      <c r="C136" s="276"/>
      <c r="D136" s="276"/>
      <c r="E136" s="368">
        <f t="shared" si="11"/>
        <v>0</v>
      </c>
      <c r="F136" s="352">
        <f>SUM(F137)</f>
        <v>0</v>
      </c>
      <c r="G136" s="352">
        <f t="shared" ref="G136:P136" si="14">SUM(G137)</f>
        <v>0</v>
      </c>
      <c r="H136" s="352">
        <f t="shared" si="14"/>
        <v>0</v>
      </c>
      <c r="I136" s="352">
        <f t="shared" si="14"/>
        <v>0</v>
      </c>
      <c r="J136" s="277">
        <f>SUM(J137)</f>
        <v>0</v>
      </c>
      <c r="K136" s="277">
        <f t="shared" si="14"/>
        <v>0</v>
      </c>
      <c r="L136" s="277">
        <f t="shared" si="14"/>
        <v>0</v>
      </c>
      <c r="M136" s="277">
        <f t="shared" si="14"/>
        <v>0</v>
      </c>
      <c r="N136" s="277">
        <f t="shared" si="14"/>
        <v>0</v>
      </c>
      <c r="O136" s="277">
        <f t="shared" si="14"/>
        <v>0</v>
      </c>
      <c r="P136" s="278">
        <f t="shared" si="14"/>
        <v>0</v>
      </c>
      <c r="Q136" s="256">
        <v>0</v>
      </c>
      <c r="R136" s="256">
        <v>0</v>
      </c>
    </row>
    <row r="137" spans="1:18" ht="14.25" hidden="1" customHeight="1" x14ac:dyDescent="0.3">
      <c r="A137" s="311">
        <v>3213</v>
      </c>
      <c r="B137" s="312" t="s">
        <v>125</v>
      </c>
      <c r="C137" s="312"/>
      <c r="D137" s="312"/>
      <c r="E137" s="367">
        <f t="shared" si="11"/>
        <v>0</v>
      </c>
      <c r="F137" s="365"/>
      <c r="G137" s="365"/>
      <c r="H137" s="365"/>
      <c r="I137" s="365"/>
      <c r="J137" s="313"/>
      <c r="K137" s="309"/>
      <c r="L137" s="309"/>
      <c r="M137" s="309"/>
      <c r="N137" s="309"/>
      <c r="O137" s="309"/>
      <c r="P137" s="316"/>
      <c r="Q137" s="256">
        <v>0</v>
      </c>
      <c r="R137" s="256">
        <v>0</v>
      </c>
    </row>
    <row r="138" spans="1:18" ht="14.25" hidden="1" customHeight="1" x14ac:dyDescent="0.3">
      <c r="A138" s="275">
        <v>322</v>
      </c>
      <c r="B138" s="276" t="s">
        <v>151</v>
      </c>
      <c r="C138" s="276"/>
      <c r="D138" s="276"/>
      <c r="E138" s="368">
        <f t="shared" si="11"/>
        <v>0</v>
      </c>
      <c r="F138" s="352">
        <f>SUM(F139:F141)</f>
        <v>0</v>
      </c>
      <c r="G138" s="352">
        <f t="shared" ref="G138:P138" si="15">SUM(G139:G141)</f>
        <v>0</v>
      </c>
      <c r="H138" s="352">
        <f t="shared" ref="H138:I138" si="16">SUM(H139:H141)</f>
        <v>0</v>
      </c>
      <c r="I138" s="352">
        <f t="shared" si="16"/>
        <v>0</v>
      </c>
      <c r="J138" s="277">
        <f>SUM(J139:J141)</f>
        <v>0</v>
      </c>
      <c r="K138" s="277">
        <f t="shared" si="15"/>
        <v>0</v>
      </c>
      <c r="L138" s="277">
        <f t="shared" si="15"/>
        <v>0</v>
      </c>
      <c r="M138" s="277">
        <f t="shared" si="15"/>
        <v>0</v>
      </c>
      <c r="N138" s="277">
        <f>SUM(N139:N141)</f>
        <v>0</v>
      </c>
      <c r="O138" s="277">
        <f t="shared" si="15"/>
        <v>0</v>
      </c>
      <c r="P138" s="278">
        <f t="shared" si="15"/>
        <v>0</v>
      </c>
      <c r="Q138" s="256">
        <v>0</v>
      </c>
      <c r="R138" s="256">
        <v>0</v>
      </c>
    </row>
    <row r="139" spans="1:18" ht="19.5" hidden="1" customHeight="1" x14ac:dyDescent="0.3">
      <c r="A139" s="311">
        <v>3221</v>
      </c>
      <c r="B139" s="312" t="s">
        <v>126</v>
      </c>
      <c r="C139" s="312"/>
      <c r="D139" s="312"/>
      <c r="E139" s="367">
        <f t="shared" si="11"/>
        <v>0</v>
      </c>
      <c r="F139" s="365"/>
      <c r="G139" s="365"/>
      <c r="H139" s="365"/>
      <c r="I139" s="365"/>
      <c r="J139" s="313"/>
      <c r="K139" s="309"/>
      <c r="L139" s="309"/>
      <c r="M139" s="309"/>
      <c r="N139" s="309"/>
      <c r="O139" s="309"/>
      <c r="P139" s="316"/>
      <c r="Q139" s="256">
        <v>0</v>
      </c>
      <c r="R139" s="256">
        <v>0</v>
      </c>
    </row>
    <row r="140" spans="1:18" ht="14.25" hidden="1" customHeight="1" x14ac:dyDescent="0.3">
      <c r="A140" s="311">
        <v>3222</v>
      </c>
      <c r="B140" s="312" t="s">
        <v>154</v>
      </c>
      <c r="C140" s="312"/>
      <c r="D140" s="312"/>
      <c r="E140" s="367">
        <f t="shared" si="11"/>
        <v>0</v>
      </c>
      <c r="F140" s="374"/>
      <c r="G140" s="374"/>
      <c r="H140" s="374"/>
      <c r="I140" s="374"/>
      <c r="J140" s="324"/>
      <c r="K140" s="324"/>
      <c r="L140" s="324"/>
      <c r="M140" s="324"/>
      <c r="N140" s="324"/>
      <c r="O140" s="309"/>
      <c r="P140" s="316"/>
      <c r="Q140" s="256">
        <v>0</v>
      </c>
      <c r="R140" s="256">
        <v>0</v>
      </c>
    </row>
    <row r="141" spans="1:18" ht="14.25" hidden="1" customHeight="1" x14ac:dyDescent="0.3">
      <c r="A141" s="311">
        <v>3225</v>
      </c>
      <c r="B141" s="312" t="s">
        <v>127</v>
      </c>
      <c r="C141" s="312"/>
      <c r="D141" s="312"/>
      <c r="E141" s="367">
        <f t="shared" si="11"/>
        <v>0</v>
      </c>
      <c r="F141" s="365"/>
      <c r="G141" s="374"/>
      <c r="H141" s="374"/>
      <c r="I141" s="374"/>
      <c r="J141" s="313"/>
      <c r="K141" s="324"/>
      <c r="L141" s="324"/>
      <c r="M141" s="324"/>
      <c r="N141" s="324"/>
      <c r="O141" s="309"/>
      <c r="P141" s="316"/>
      <c r="Q141" s="256">
        <v>0</v>
      </c>
      <c r="R141" s="256">
        <v>0</v>
      </c>
    </row>
    <row r="142" spans="1:18" ht="18" hidden="1" customHeight="1" x14ac:dyDescent="0.3">
      <c r="A142" s="275">
        <v>323</v>
      </c>
      <c r="B142" s="276" t="s">
        <v>152</v>
      </c>
      <c r="C142" s="276"/>
      <c r="D142" s="276"/>
      <c r="E142" s="368">
        <f t="shared" si="11"/>
        <v>0</v>
      </c>
      <c r="F142" s="352">
        <f>SUM(F143:F145)</f>
        <v>0</v>
      </c>
      <c r="G142" s="352">
        <f t="shared" ref="G142:P142" si="17">SUM(G143:G145)</f>
        <v>0</v>
      </c>
      <c r="H142" s="352">
        <f t="shared" ref="H142:I142" si="18">SUM(H143:H145)</f>
        <v>0</v>
      </c>
      <c r="I142" s="352">
        <f t="shared" si="18"/>
        <v>0</v>
      </c>
      <c r="J142" s="277">
        <f>SUM(J143:J145)</f>
        <v>0</v>
      </c>
      <c r="K142" s="277">
        <f t="shared" si="17"/>
        <v>0</v>
      </c>
      <c r="L142" s="277">
        <f t="shared" si="17"/>
        <v>0</v>
      </c>
      <c r="M142" s="277">
        <f t="shared" si="17"/>
        <v>0</v>
      </c>
      <c r="N142" s="277">
        <f>SUM(N143:N145)</f>
        <v>0</v>
      </c>
      <c r="O142" s="277">
        <f t="shared" si="17"/>
        <v>0</v>
      </c>
      <c r="P142" s="278">
        <f t="shared" si="17"/>
        <v>0</v>
      </c>
    </row>
    <row r="143" spans="1:18" ht="15.6" hidden="1" customHeight="1" x14ac:dyDescent="0.3">
      <c r="A143" s="311">
        <v>3236</v>
      </c>
      <c r="B143" s="312" t="s">
        <v>156</v>
      </c>
      <c r="C143" s="312"/>
      <c r="D143" s="312"/>
      <c r="E143" s="367">
        <f t="shared" si="11"/>
        <v>0</v>
      </c>
      <c r="F143" s="374"/>
      <c r="G143" s="374"/>
      <c r="H143" s="374"/>
      <c r="I143" s="374"/>
      <c r="J143" s="324"/>
      <c r="K143" s="324"/>
      <c r="L143" s="324"/>
      <c r="M143" s="324"/>
      <c r="N143" s="324"/>
      <c r="O143" s="309"/>
      <c r="P143" s="316"/>
    </row>
    <row r="144" spans="1:18" ht="15.6" hidden="1" customHeight="1" x14ac:dyDescent="0.3">
      <c r="A144" s="311">
        <v>3237</v>
      </c>
      <c r="B144" s="312" t="s">
        <v>132</v>
      </c>
      <c r="C144" s="312"/>
      <c r="D144" s="312"/>
      <c r="E144" s="367">
        <f t="shared" si="11"/>
        <v>0</v>
      </c>
      <c r="F144" s="374"/>
      <c r="G144" s="374"/>
      <c r="H144" s="374"/>
      <c r="I144" s="374"/>
      <c r="J144" s="324"/>
      <c r="K144" s="324"/>
      <c r="L144" s="324"/>
      <c r="M144" s="324"/>
      <c r="N144" s="324"/>
      <c r="O144" s="309"/>
      <c r="P144" s="316"/>
    </row>
    <row r="145" spans="1:18" ht="15.6" hidden="1" customHeight="1" x14ac:dyDescent="0.3">
      <c r="A145" s="317">
        <v>3239</v>
      </c>
      <c r="B145" s="318" t="s">
        <v>134</v>
      </c>
      <c r="C145" s="318"/>
      <c r="D145" s="318"/>
      <c r="E145" s="369">
        <f t="shared" si="11"/>
        <v>0</v>
      </c>
      <c r="F145" s="370"/>
      <c r="G145" s="371"/>
      <c r="H145" s="371"/>
      <c r="I145" s="371"/>
      <c r="J145" s="319"/>
      <c r="K145" s="321"/>
      <c r="L145" s="321"/>
      <c r="M145" s="321"/>
      <c r="N145" s="321"/>
      <c r="O145" s="320"/>
      <c r="P145" s="322"/>
    </row>
    <row r="146" spans="1:18" s="279" customFormat="1" ht="15.6" hidden="1" customHeight="1" x14ac:dyDescent="0.3">
      <c r="A146" s="627" t="s">
        <v>235</v>
      </c>
      <c r="B146" s="628"/>
      <c r="C146" s="293"/>
      <c r="D146" s="293"/>
      <c r="E146" s="360">
        <f>SUM(E135)</f>
        <v>0</v>
      </c>
      <c r="F146" s="350">
        <f>SUM(F135)</f>
        <v>0</v>
      </c>
      <c r="G146" s="350">
        <f t="shared" ref="G146:P146" si="19">SUM(G135)</f>
        <v>0</v>
      </c>
      <c r="H146" s="350">
        <f t="shared" ref="H146:I146" si="20">SUM(H135)</f>
        <v>0</v>
      </c>
      <c r="I146" s="350">
        <f t="shared" si="20"/>
        <v>0</v>
      </c>
      <c r="J146" s="272">
        <f>SUM(J135)</f>
        <v>0</v>
      </c>
      <c r="K146" s="272">
        <f t="shared" si="19"/>
        <v>0</v>
      </c>
      <c r="L146" s="272">
        <f t="shared" si="19"/>
        <v>0</v>
      </c>
      <c r="M146" s="272">
        <f t="shared" si="19"/>
        <v>0</v>
      </c>
      <c r="N146" s="272">
        <f>SUM(N135)</f>
        <v>0</v>
      </c>
      <c r="O146" s="272">
        <f t="shared" si="19"/>
        <v>0</v>
      </c>
      <c r="P146" s="272">
        <f t="shared" si="19"/>
        <v>0</v>
      </c>
    </row>
    <row r="147" spans="1:18" s="279" customFormat="1" ht="15.6" hidden="1" customHeight="1" x14ac:dyDescent="0.3">
      <c r="A147" s="273"/>
      <c r="B147" s="273"/>
      <c r="C147" s="273"/>
      <c r="D147" s="273"/>
      <c r="E147" s="372"/>
      <c r="F147" s="375"/>
      <c r="G147" s="351"/>
      <c r="H147" s="351"/>
      <c r="I147" s="351"/>
      <c r="J147" s="274"/>
      <c r="K147" s="274"/>
      <c r="L147" s="274"/>
      <c r="M147" s="274"/>
      <c r="N147" s="274"/>
      <c r="O147" s="274"/>
      <c r="P147" s="274"/>
    </row>
    <row r="148" spans="1:18" s="297" customFormat="1" ht="21" hidden="1" customHeight="1" x14ac:dyDescent="0.3">
      <c r="A148" s="649" t="s">
        <v>241</v>
      </c>
      <c r="B148" s="649"/>
      <c r="C148" s="649"/>
      <c r="D148" s="649"/>
      <c r="E148" s="649"/>
      <c r="F148" s="364" t="s">
        <v>252</v>
      </c>
      <c r="G148" s="362"/>
      <c r="H148" s="362"/>
      <c r="I148" s="362"/>
      <c r="J148" s="388"/>
    </row>
    <row r="149" spans="1:18" ht="32.25" hidden="1" customHeight="1" x14ac:dyDescent="0.3">
      <c r="A149" s="630" t="s">
        <v>232</v>
      </c>
      <c r="B149" s="632" t="s">
        <v>201</v>
      </c>
      <c r="C149" s="261"/>
      <c r="D149" s="261"/>
      <c r="E149" s="617" t="s">
        <v>243</v>
      </c>
      <c r="F149" s="619" t="s">
        <v>16</v>
      </c>
      <c r="G149" s="619" t="s">
        <v>244</v>
      </c>
      <c r="H149" s="619" t="s">
        <v>247</v>
      </c>
      <c r="I149" s="619" t="s">
        <v>247</v>
      </c>
      <c r="J149" s="650" t="s">
        <v>245</v>
      </c>
      <c r="K149" s="643" t="s">
        <v>246</v>
      </c>
      <c r="L149" s="643" t="s">
        <v>247</v>
      </c>
      <c r="M149" s="643" t="s">
        <v>248</v>
      </c>
      <c r="N149" s="643">
        <v>922</v>
      </c>
      <c r="O149" s="645" t="s">
        <v>249</v>
      </c>
      <c r="P149" s="645" t="s">
        <v>250</v>
      </c>
    </row>
    <row r="150" spans="1:18" ht="54.75" hidden="1" customHeight="1" x14ac:dyDescent="0.3">
      <c r="A150" s="631"/>
      <c r="B150" s="633"/>
      <c r="C150" s="262"/>
      <c r="D150" s="262"/>
      <c r="E150" s="618"/>
      <c r="F150" s="620"/>
      <c r="G150" s="620"/>
      <c r="H150" s="620"/>
      <c r="I150" s="620"/>
      <c r="J150" s="651"/>
      <c r="K150" s="644"/>
      <c r="L150" s="644"/>
      <c r="M150" s="644"/>
      <c r="N150" s="644"/>
      <c r="O150" s="646"/>
      <c r="P150" s="646"/>
    </row>
    <row r="151" spans="1:18" ht="15.75" hidden="1" customHeight="1" x14ac:dyDescent="0.3">
      <c r="A151" s="263">
        <v>32</v>
      </c>
      <c r="B151" s="264" t="s">
        <v>33</v>
      </c>
      <c r="C151" s="264"/>
      <c r="D151" s="264"/>
      <c r="E151" s="373">
        <f t="shared" ref="E151:E158" si="21">SUM(F151:N151)</f>
        <v>0</v>
      </c>
      <c r="F151" s="344">
        <f>SUM(F152,F155)</f>
        <v>0</v>
      </c>
      <c r="G151" s="344">
        <f t="shared" ref="G151:M151" si="22">SUM(G152,G155)</f>
        <v>0</v>
      </c>
      <c r="H151" s="344">
        <f t="shared" ref="H151:I151" si="23">SUM(H152,H155)</f>
        <v>0</v>
      </c>
      <c r="I151" s="344">
        <f t="shared" si="23"/>
        <v>0</v>
      </c>
      <c r="J151" s="265">
        <f>SUM(J152,J155)</f>
        <v>0</v>
      </c>
      <c r="K151" s="265">
        <f t="shared" si="22"/>
        <v>0</v>
      </c>
      <c r="L151" s="265">
        <f t="shared" si="22"/>
        <v>0</v>
      </c>
      <c r="M151" s="265">
        <f t="shared" si="22"/>
        <v>0</v>
      </c>
      <c r="N151" s="265">
        <f>SUM(N152,N155)</f>
        <v>0</v>
      </c>
      <c r="O151" s="265">
        <f>SUM(E151*1.1)</f>
        <v>0</v>
      </c>
      <c r="P151" s="266">
        <f>SUM(O151*1.099)</f>
        <v>0</v>
      </c>
      <c r="Q151" s="256">
        <v>0</v>
      </c>
      <c r="R151" s="256">
        <v>0</v>
      </c>
    </row>
    <row r="152" spans="1:18" ht="14.25" hidden="1" customHeight="1" x14ac:dyDescent="0.3">
      <c r="A152" s="275">
        <v>322</v>
      </c>
      <c r="B152" s="276" t="s">
        <v>151</v>
      </c>
      <c r="C152" s="276"/>
      <c r="D152" s="276"/>
      <c r="E152" s="368">
        <f t="shared" si="21"/>
        <v>0</v>
      </c>
      <c r="F152" s="352">
        <f>SUM(F153:F154)</f>
        <v>0</v>
      </c>
      <c r="G152" s="352">
        <f t="shared" ref="G152:P152" si="24">SUM(G153:G154)</f>
        <v>0</v>
      </c>
      <c r="H152" s="352">
        <f t="shared" ref="H152:I152" si="25">SUM(H153:H154)</f>
        <v>0</v>
      </c>
      <c r="I152" s="352">
        <f t="shared" si="25"/>
        <v>0</v>
      </c>
      <c r="J152" s="277">
        <f>SUM(J153:J154)</f>
        <v>0</v>
      </c>
      <c r="K152" s="277">
        <f t="shared" si="24"/>
        <v>0</v>
      </c>
      <c r="L152" s="277">
        <f t="shared" si="24"/>
        <v>0</v>
      </c>
      <c r="M152" s="277">
        <f t="shared" si="24"/>
        <v>0</v>
      </c>
      <c r="N152" s="277">
        <f>SUM(N153:N154)</f>
        <v>0</v>
      </c>
      <c r="O152" s="277">
        <f t="shared" si="24"/>
        <v>0</v>
      </c>
      <c r="P152" s="278">
        <f t="shared" si="24"/>
        <v>0</v>
      </c>
      <c r="Q152" s="256">
        <v>0</v>
      </c>
      <c r="R152" s="256">
        <v>0</v>
      </c>
    </row>
    <row r="153" spans="1:18" ht="19.5" hidden="1" customHeight="1" x14ac:dyDescent="0.3">
      <c r="A153" s="311">
        <v>3221</v>
      </c>
      <c r="B153" s="312" t="s">
        <v>126</v>
      </c>
      <c r="C153" s="312"/>
      <c r="D153" s="312"/>
      <c r="E153" s="367">
        <f t="shared" si="21"/>
        <v>0</v>
      </c>
      <c r="F153" s="365"/>
      <c r="G153" s="365"/>
      <c r="H153" s="365"/>
      <c r="I153" s="365"/>
      <c r="J153" s="313"/>
      <c r="K153" s="309"/>
      <c r="L153" s="309"/>
      <c r="M153" s="309"/>
      <c r="N153" s="309"/>
      <c r="O153" s="309"/>
      <c r="P153" s="316"/>
      <c r="Q153" s="256">
        <v>0</v>
      </c>
      <c r="R153" s="256">
        <v>0</v>
      </c>
    </row>
    <row r="154" spans="1:18" ht="14.25" hidden="1" customHeight="1" x14ac:dyDescent="0.3">
      <c r="A154" s="311">
        <v>3225</v>
      </c>
      <c r="B154" s="312" t="s">
        <v>127</v>
      </c>
      <c r="C154" s="312"/>
      <c r="D154" s="312"/>
      <c r="E154" s="367">
        <f t="shared" si="21"/>
        <v>0</v>
      </c>
      <c r="F154" s="365"/>
      <c r="G154" s="374"/>
      <c r="H154" s="374"/>
      <c r="I154" s="374"/>
      <c r="J154" s="313"/>
      <c r="K154" s="324"/>
      <c r="L154" s="324"/>
      <c r="M154" s="324"/>
      <c r="N154" s="324"/>
      <c r="O154" s="309"/>
      <c r="P154" s="316"/>
      <c r="Q154" s="256">
        <v>0</v>
      </c>
      <c r="R154" s="256">
        <v>0</v>
      </c>
    </row>
    <row r="155" spans="1:18" ht="18" hidden="1" customHeight="1" x14ac:dyDescent="0.3">
      <c r="A155" s="275">
        <v>323</v>
      </c>
      <c r="B155" s="276" t="s">
        <v>152</v>
      </c>
      <c r="C155" s="276"/>
      <c r="D155" s="276"/>
      <c r="E155" s="368">
        <f t="shared" si="21"/>
        <v>0</v>
      </c>
      <c r="F155" s="352">
        <f>SUM(F156:F158)</f>
        <v>0</v>
      </c>
      <c r="G155" s="352">
        <f t="shared" ref="G155:P155" si="26">SUM(G156:G158)</f>
        <v>0</v>
      </c>
      <c r="H155" s="352">
        <f t="shared" ref="H155:I155" si="27">SUM(H156:H158)</f>
        <v>0</v>
      </c>
      <c r="I155" s="352">
        <f t="shared" si="27"/>
        <v>0</v>
      </c>
      <c r="J155" s="277">
        <f>SUM(J156:J158)</f>
        <v>0</v>
      </c>
      <c r="K155" s="277">
        <f t="shared" si="26"/>
        <v>0</v>
      </c>
      <c r="L155" s="277">
        <f t="shared" si="26"/>
        <v>0</v>
      </c>
      <c r="M155" s="277">
        <f t="shared" si="26"/>
        <v>0</v>
      </c>
      <c r="N155" s="277">
        <f>SUM(N156:N158)</f>
        <v>0</v>
      </c>
      <c r="O155" s="277">
        <f t="shared" si="26"/>
        <v>0</v>
      </c>
      <c r="P155" s="278">
        <f t="shared" si="26"/>
        <v>0</v>
      </c>
    </row>
    <row r="156" spans="1:18" ht="15.6" hidden="1" customHeight="1" x14ac:dyDescent="0.3">
      <c r="A156" s="311">
        <v>3235</v>
      </c>
      <c r="B156" s="312" t="s">
        <v>253</v>
      </c>
      <c r="C156" s="312"/>
      <c r="D156" s="312"/>
      <c r="E156" s="367">
        <f t="shared" si="21"/>
        <v>0</v>
      </c>
      <c r="F156" s="374"/>
      <c r="G156" s="374"/>
      <c r="H156" s="374"/>
      <c r="I156" s="374"/>
      <c r="J156" s="324"/>
      <c r="K156" s="324"/>
      <c r="L156" s="324"/>
      <c r="M156" s="324"/>
      <c r="N156" s="324"/>
      <c r="O156" s="309"/>
      <c r="P156" s="316"/>
    </row>
    <row r="157" spans="1:18" ht="15.6" hidden="1" customHeight="1" x14ac:dyDescent="0.3">
      <c r="A157" s="311">
        <v>3237</v>
      </c>
      <c r="B157" s="312" t="s">
        <v>132</v>
      </c>
      <c r="C157" s="312"/>
      <c r="D157" s="312"/>
      <c r="E157" s="367">
        <f t="shared" si="21"/>
        <v>0</v>
      </c>
      <c r="F157" s="374"/>
      <c r="G157" s="374"/>
      <c r="H157" s="374"/>
      <c r="I157" s="374"/>
      <c r="J157" s="324"/>
      <c r="K157" s="324"/>
      <c r="L157" s="324"/>
      <c r="M157" s="324"/>
      <c r="N157" s="324"/>
      <c r="O157" s="309"/>
      <c r="P157" s="316"/>
    </row>
    <row r="158" spans="1:18" ht="15.6" hidden="1" customHeight="1" x14ac:dyDescent="0.3">
      <c r="A158" s="317">
        <v>3239</v>
      </c>
      <c r="B158" s="318" t="s">
        <v>134</v>
      </c>
      <c r="C158" s="318"/>
      <c r="D158" s="318"/>
      <c r="E158" s="369">
        <f t="shared" si="21"/>
        <v>0</v>
      </c>
      <c r="F158" s="370"/>
      <c r="G158" s="371"/>
      <c r="H158" s="371"/>
      <c r="I158" s="371"/>
      <c r="J158" s="319"/>
      <c r="K158" s="321"/>
      <c r="L158" s="321"/>
      <c r="M158" s="321"/>
      <c r="N158" s="321"/>
      <c r="O158" s="320"/>
      <c r="P158" s="322"/>
    </row>
    <row r="159" spans="1:18" s="327" customFormat="1" ht="19.5" hidden="1" customHeight="1" x14ac:dyDescent="0.3">
      <c r="A159" s="647" t="s">
        <v>235</v>
      </c>
      <c r="B159" s="648"/>
      <c r="C159" s="326"/>
      <c r="D159" s="326"/>
      <c r="E159" s="360">
        <f>SUM(E151)</f>
        <v>0</v>
      </c>
      <c r="F159" s="360">
        <f>SUM(F151)</f>
        <v>0</v>
      </c>
      <c r="G159" s="360">
        <f t="shared" ref="G159:P159" si="28">SUM(G151)</f>
        <v>0</v>
      </c>
      <c r="H159" s="360">
        <f t="shared" ref="H159:I159" si="29">SUM(H151)</f>
        <v>0</v>
      </c>
      <c r="I159" s="360">
        <f t="shared" si="29"/>
        <v>0</v>
      </c>
      <c r="J159" s="272">
        <f>SUM(J151)</f>
        <v>0</v>
      </c>
      <c r="K159" s="294">
        <f t="shared" si="28"/>
        <v>0</v>
      </c>
      <c r="L159" s="294">
        <f t="shared" si="28"/>
        <v>0</v>
      </c>
      <c r="M159" s="294">
        <f t="shared" si="28"/>
        <v>0</v>
      </c>
      <c r="N159" s="294">
        <f>SUM(N151)</f>
        <v>0</v>
      </c>
      <c r="O159" s="294">
        <f t="shared" si="28"/>
        <v>0</v>
      </c>
      <c r="P159" s="294">
        <f t="shared" si="28"/>
        <v>0</v>
      </c>
      <c r="Q159" s="294" t="e">
        <f>SUM(#REF!,#REF!,#REF!,#REF!)</f>
        <v>#REF!</v>
      </c>
      <c r="R159" s="294" t="e">
        <f>SUM(#REF!,#REF!,#REF!,#REF!)</f>
        <v>#REF!</v>
      </c>
    </row>
    <row r="160" spans="1:18" ht="15.6" hidden="1" customHeight="1" x14ac:dyDescent="0.3">
      <c r="A160" s="328"/>
      <c r="B160" s="329"/>
      <c r="C160" s="329"/>
      <c r="D160" s="329"/>
      <c r="E160" s="372"/>
      <c r="F160" s="376"/>
      <c r="G160" s="351"/>
      <c r="H160" s="351"/>
      <c r="I160" s="351"/>
      <c r="J160" s="274"/>
      <c r="K160" s="274"/>
      <c r="L160" s="274"/>
      <c r="M160" s="274"/>
      <c r="N160" s="274"/>
      <c r="O160" s="274"/>
      <c r="P160" s="274"/>
      <c r="Q160" s="279"/>
      <c r="R160" s="279"/>
    </row>
    <row r="161" spans="1:18" s="297" customFormat="1" ht="21" hidden="1" customHeight="1" x14ac:dyDescent="0.3">
      <c r="A161" s="649" t="s">
        <v>241</v>
      </c>
      <c r="B161" s="649"/>
      <c r="C161" s="649"/>
      <c r="D161" s="649"/>
      <c r="E161" s="649"/>
      <c r="F161" s="364" t="s">
        <v>254</v>
      </c>
      <c r="G161" s="362"/>
      <c r="H161" s="362"/>
      <c r="I161" s="362"/>
      <c r="J161" s="388"/>
    </row>
    <row r="162" spans="1:18" ht="32.25" hidden="1" customHeight="1" x14ac:dyDescent="0.3">
      <c r="A162" s="630" t="s">
        <v>232</v>
      </c>
      <c r="B162" s="632" t="s">
        <v>201</v>
      </c>
      <c r="C162" s="261"/>
      <c r="D162" s="261"/>
      <c r="E162" s="617" t="s">
        <v>243</v>
      </c>
      <c r="F162" s="619" t="s">
        <v>16</v>
      </c>
      <c r="G162" s="619" t="s">
        <v>244</v>
      </c>
      <c r="H162" s="619" t="s">
        <v>247</v>
      </c>
      <c r="I162" s="619" t="s">
        <v>247</v>
      </c>
      <c r="J162" s="650" t="s">
        <v>245</v>
      </c>
      <c r="K162" s="643" t="s">
        <v>246</v>
      </c>
      <c r="L162" s="643" t="s">
        <v>247</v>
      </c>
      <c r="M162" s="643" t="s">
        <v>248</v>
      </c>
      <c r="N162" s="643">
        <v>922</v>
      </c>
      <c r="O162" s="645" t="s">
        <v>249</v>
      </c>
      <c r="P162" s="645" t="s">
        <v>250</v>
      </c>
    </row>
    <row r="163" spans="1:18" ht="57.75" hidden="1" customHeight="1" x14ac:dyDescent="0.3">
      <c r="A163" s="631"/>
      <c r="B163" s="633"/>
      <c r="C163" s="262"/>
      <c r="D163" s="262"/>
      <c r="E163" s="618"/>
      <c r="F163" s="620"/>
      <c r="G163" s="620"/>
      <c r="H163" s="620"/>
      <c r="I163" s="620"/>
      <c r="J163" s="651"/>
      <c r="K163" s="644"/>
      <c r="L163" s="644"/>
      <c r="M163" s="644"/>
      <c r="N163" s="644"/>
      <c r="O163" s="646"/>
      <c r="P163" s="646"/>
    </row>
    <row r="164" spans="1:18" ht="15.75" hidden="1" customHeight="1" x14ac:dyDescent="0.3">
      <c r="A164" s="275">
        <v>32</v>
      </c>
      <c r="B164" s="276" t="s">
        <v>33</v>
      </c>
      <c r="C164" s="276"/>
      <c r="D164" s="276"/>
      <c r="E164" s="368">
        <f t="shared" ref="E164:E172" si="30">SUM(F164:N164)</f>
        <v>0</v>
      </c>
      <c r="F164" s="352">
        <f>SUM(F165,F167,F170)</f>
        <v>0</v>
      </c>
      <c r="G164" s="352">
        <f t="shared" ref="G164:M164" si="31">SUM(G165,G167,G170)</f>
        <v>0</v>
      </c>
      <c r="H164" s="352">
        <f t="shared" ref="H164:I164" si="32">SUM(H165,H167,H170)</f>
        <v>0</v>
      </c>
      <c r="I164" s="352">
        <f t="shared" si="32"/>
        <v>0</v>
      </c>
      <c r="J164" s="277">
        <f>SUM(J165,J167,J170)</f>
        <v>0</v>
      </c>
      <c r="K164" s="277">
        <f t="shared" si="31"/>
        <v>0</v>
      </c>
      <c r="L164" s="277">
        <f t="shared" si="31"/>
        <v>0</v>
      </c>
      <c r="M164" s="277">
        <f t="shared" si="31"/>
        <v>0</v>
      </c>
      <c r="N164" s="277">
        <f>SUM(N165,N167,N170)</f>
        <v>0</v>
      </c>
      <c r="O164" s="277">
        <f>SUM(E164*1.1)</f>
        <v>0</v>
      </c>
      <c r="P164" s="278">
        <f>SUM(O164*1.099)</f>
        <v>0</v>
      </c>
      <c r="Q164" s="256">
        <v>0</v>
      </c>
      <c r="R164" s="256">
        <v>0</v>
      </c>
    </row>
    <row r="165" spans="1:18" ht="12.75" hidden="1" customHeight="1" x14ac:dyDescent="0.3">
      <c r="A165" s="275">
        <v>321</v>
      </c>
      <c r="B165" s="276" t="s">
        <v>150</v>
      </c>
      <c r="C165" s="276"/>
      <c r="D165" s="276"/>
      <c r="E165" s="368">
        <f t="shared" si="30"/>
        <v>0</v>
      </c>
      <c r="F165" s="352">
        <f>SUM(F166)</f>
        <v>0</v>
      </c>
      <c r="G165" s="352">
        <f t="shared" ref="G165:P165" si="33">SUM(G166)</f>
        <v>0</v>
      </c>
      <c r="H165" s="352">
        <f t="shared" si="33"/>
        <v>0</v>
      </c>
      <c r="I165" s="352">
        <f t="shared" si="33"/>
        <v>0</v>
      </c>
      <c r="J165" s="277">
        <f>SUM(J166)</f>
        <v>0</v>
      </c>
      <c r="K165" s="277">
        <f t="shared" si="33"/>
        <v>0</v>
      </c>
      <c r="L165" s="277">
        <f t="shared" si="33"/>
        <v>0</v>
      </c>
      <c r="M165" s="277">
        <f t="shared" si="33"/>
        <v>0</v>
      </c>
      <c r="N165" s="277">
        <f t="shared" si="33"/>
        <v>0</v>
      </c>
      <c r="O165" s="277">
        <f t="shared" si="33"/>
        <v>0</v>
      </c>
      <c r="P165" s="278">
        <f t="shared" si="33"/>
        <v>0</v>
      </c>
      <c r="Q165" s="256">
        <v>0</v>
      </c>
      <c r="R165" s="256">
        <v>0</v>
      </c>
    </row>
    <row r="166" spans="1:18" ht="14.25" hidden="1" customHeight="1" x14ac:dyDescent="0.3">
      <c r="A166" s="311">
        <v>3213</v>
      </c>
      <c r="B166" s="312" t="s">
        <v>125</v>
      </c>
      <c r="C166" s="312"/>
      <c r="D166" s="312"/>
      <c r="E166" s="367">
        <f t="shared" si="30"/>
        <v>0</v>
      </c>
      <c r="F166" s="365"/>
      <c r="G166" s="365"/>
      <c r="H166" s="365"/>
      <c r="I166" s="365"/>
      <c r="J166" s="313"/>
      <c r="K166" s="309"/>
      <c r="L166" s="309"/>
      <c r="M166" s="309"/>
      <c r="N166" s="309"/>
      <c r="O166" s="309"/>
      <c r="P166" s="316"/>
      <c r="Q166" s="256">
        <v>0</v>
      </c>
      <c r="R166" s="256">
        <v>0</v>
      </c>
    </row>
    <row r="167" spans="1:18" ht="14.25" hidden="1" customHeight="1" x14ac:dyDescent="0.3">
      <c r="A167" s="275">
        <v>322</v>
      </c>
      <c r="B167" s="276" t="s">
        <v>151</v>
      </c>
      <c r="C167" s="276"/>
      <c r="D167" s="276"/>
      <c r="E167" s="368">
        <f t="shared" si="30"/>
        <v>0</v>
      </c>
      <c r="F167" s="352">
        <f>SUM(F168:F169)</f>
        <v>0</v>
      </c>
      <c r="G167" s="352">
        <f t="shared" ref="G167:P167" si="34">SUM(G168:G169)</f>
        <v>0</v>
      </c>
      <c r="H167" s="352">
        <f t="shared" ref="H167:I167" si="35">SUM(H168:H169)</f>
        <v>0</v>
      </c>
      <c r="I167" s="352">
        <f t="shared" si="35"/>
        <v>0</v>
      </c>
      <c r="J167" s="277">
        <f>SUM(J168:J169)</f>
        <v>0</v>
      </c>
      <c r="K167" s="277">
        <f t="shared" si="34"/>
        <v>0</v>
      </c>
      <c r="L167" s="277">
        <f t="shared" si="34"/>
        <v>0</v>
      </c>
      <c r="M167" s="277">
        <f t="shared" si="34"/>
        <v>0</v>
      </c>
      <c r="N167" s="277">
        <f>SUM(N168:N169)</f>
        <v>0</v>
      </c>
      <c r="O167" s="277">
        <f t="shared" si="34"/>
        <v>0</v>
      </c>
      <c r="P167" s="278">
        <f t="shared" si="34"/>
        <v>0</v>
      </c>
      <c r="Q167" s="256">
        <v>0</v>
      </c>
      <c r="R167" s="256">
        <v>0</v>
      </c>
    </row>
    <row r="168" spans="1:18" ht="19.5" hidden="1" customHeight="1" x14ac:dyDescent="0.3">
      <c r="A168" s="311">
        <v>3221</v>
      </c>
      <c r="B168" s="312" t="s">
        <v>126</v>
      </c>
      <c r="C168" s="312"/>
      <c r="D168" s="312"/>
      <c r="E168" s="367">
        <f t="shared" si="30"/>
        <v>0</v>
      </c>
      <c r="F168" s="365"/>
      <c r="G168" s="365"/>
      <c r="H168" s="365"/>
      <c r="I168" s="365"/>
      <c r="J168" s="313"/>
      <c r="K168" s="309"/>
      <c r="L168" s="309"/>
      <c r="M168" s="309"/>
      <c r="N168" s="309"/>
      <c r="O168" s="309"/>
      <c r="P168" s="316"/>
      <c r="Q168" s="256">
        <v>0</v>
      </c>
      <c r="R168" s="256">
        <v>0</v>
      </c>
    </row>
    <row r="169" spans="1:18" ht="14.25" hidden="1" customHeight="1" x14ac:dyDescent="0.3">
      <c r="A169" s="311">
        <v>3225</v>
      </c>
      <c r="B169" s="312" t="s">
        <v>127</v>
      </c>
      <c r="C169" s="312"/>
      <c r="D169" s="312"/>
      <c r="E169" s="367">
        <f t="shared" si="30"/>
        <v>0</v>
      </c>
      <c r="F169" s="365"/>
      <c r="G169" s="374"/>
      <c r="H169" s="374"/>
      <c r="I169" s="374"/>
      <c r="J169" s="313"/>
      <c r="K169" s="324"/>
      <c r="L169" s="324"/>
      <c r="M169" s="324"/>
      <c r="N169" s="324"/>
      <c r="O169" s="309"/>
      <c r="P169" s="316"/>
      <c r="Q169" s="256">
        <v>0</v>
      </c>
      <c r="R169" s="256">
        <v>0</v>
      </c>
    </row>
    <row r="170" spans="1:18" ht="18" hidden="1" customHeight="1" x14ac:dyDescent="0.3">
      <c r="A170" s="275">
        <v>323</v>
      </c>
      <c r="B170" s="276" t="s">
        <v>152</v>
      </c>
      <c r="C170" s="276"/>
      <c r="D170" s="276"/>
      <c r="E170" s="368">
        <f t="shared" si="30"/>
        <v>0</v>
      </c>
      <c r="F170" s="352">
        <f>SUM(F171:F172)</f>
        <v>0</v>
      </c>
      <c r="G170" s="352">
        <f t="shared" ref="G170:P170" si="36">SUM(G171:G172)</f>
        <v>0</v>
      </c>
      <c r="H170" s="352">
        <f t="shared" ref="H170:I170" si="37">SUM(H171:H172)</f>
        <v>0</v>
      </c>
      <c r="I170" s="352">
        <f t="shared" si="37"/>
        <v>0</v>
      </c>
      <c r="J170" s="277">
        <f>SUM(J171:J172)</f>
        <v>0</v>
      </c>
      <c r="K170" s="277">
        <f t="shared" si="36"/>
        <v>0</v>
      </c>
      <c r="L170" s="277">
        <f t="shared" si="36"/>
        <v>0</v>
      </c>
      <c r="M170" s="277">
        <f t="shared" si="36"/>
        <v>0</v>
      </c>
      <c r="N170" s="277">
        <f>SUM(N171:N172)</f>
        <v>0</v>
      </c>
      <c r="O170" s="277">
        <f t="shared" si="36"/>
        <v>0</v>
      </c>
      <c r="P170" s="278">
        <f t="shared" si="36"/>
        <v>0</v>
      </c>
    </row>
    <row r="171" spans="1:18" ht="15.6" hidden="1" customHeight="1" x14ac:dyDescent="0.3">
      <c r="A171" s="311">
        <v>3237</v>
      </c>
      <c r="B171" s="312" t="s">
        <v>132</v>
      </c>
      <c r="C171" s="312"/>
      <c r="D171" s="312"/>
      <c r="E171" s="367">
        <f t="shared" si="30"/>
        <v>0</v>
      </c>
      <c r="F171" s="374"/>
      <c r="G171" s="374"/>
      <c r="H171" s="374"/>
      <c r="I171" s="374"/>
      <c r="J171" s="324"/>
      <c r="K171" s="324"/>
      <c r="L171" s="324"/>
      <c r="M171" s="324"/>
      <c r="N171" s="324"/>
      <c r="O171" s="309"/>
      <c r="P171" s="316"/>
    </row>
    <row r="172" spans="1:18" ht="15.6" hidden="1" customHeight="1" x14ac:dyDescent="0.3">
      <c r="A172" s="311">
        <v>3239</v>
      </c>
      <c r="B172" s="312" t="s">
        <v>134</v>
      </c>
      <c r="C172" s="312"/>
      <c r="D172" s="312"/>
      <c r="E172" s="367">
        <f t="shared" si="30"/>
        <v>0</v>
      </c>
      <c r="F172" s="365"/>
      <c r="G172" s="374"/>
      <c r="H172" s="374"/>
      <c r="I172" s="374"/>
      <c r="J172" s="313"/>
      <c r="K172" s="324"/>
      <c r="L172" s="324"/>
      <c r="M172" s="324"/>
      <c r="N172" s="324"/>
      <c r="O172" s="309"/>
      <c r="P172" s="316"/>
    </row>
    <row r="173" spans="1:18" s="331" customFormat="1" ht="19.5" hidden="1" customHeight="1" x14ac:dyDescent="0.3">
      <c r="A173" s="647" t="s">
        <v>235</v>
      </c>
      <c r="B173" s="648"/>
      <c r="C173" s="326"/>
      <c r="D173" s="326"/>
      <c r="E173" s="350">
        <f>SUM(E164)</f>
        <v>0</v>
      </c>
      <c r="F173" s="350">
        <f>SUM(F164)</f>
        <v>0</v>
      </c>
      <c r="G173" s="350">
        <f t="shared" ref="G173:P173" si="38">SUM(G164)</f>
        <v>0</v>
      </c>
      <c r="H173" s="350">
        <f t="shared" ref="H173:I173" si="39">SUM(H164)</f>
        <v>0</v>
      </c>
      <c r="I173" s="350">
        <f t="shared" si="39"/>
        <v>0</v>
      </c>
      <c r="J173" s="272">
        <f>SUM(J164)</f>
        <v>0</v>
      </c>
      <c r="K173" s="272">
        <f t="shared" si="38"/>
        <v>0</v>
      </c>
      <c r="L173" s="272">
        <f t="shared" si="38"/>
        <v>0</v>
      </c>
      <c r="M173" s="272">
        <f t="shared" si="38"/>
        <v>0</v>
      </c>
      <c r="N173" s="272">
        <f>SUM(N164)</f>
        <v>0</v>
      </c>
      <c r="O173" s="272">
        <f t="shared" si="38"/>
        <v>0</v>
      </c>
      <c r="P173" s="272">
        <f t="shared" si="38"/>
        <v>0</v>
      </c>
      <c r="Q173" s="272" t="e">
        <f>SUM(#REF!,#REF!,#REF!,Q170)</f>
        <v>#REF!</v>
      </c>
      <c r="R173" s="272" t="e">
        <f>SUM(#REF!,#REF!,#REF!,R170)</f>
        <v>#REF!</v>
      </c>
    </row>
    <row r="174" spans="1:18" ht="15.6" hidden="1" customHeight="1" x14ac:dyDescent="0.3"/>
    <row r="175" spans="1:18" ht="15.6" hidden="1" customHeight="1" x14ac:dyDescent="0.3"/>
    <row r="176" spans="1:18" ht="15.6" hidden="1" customHeight="1" x14ac:dyDescent="0.3">
      <c r="A176" s="279" t="s">
        <v>222</v>
      </c>
    </row>
    <row r="177" spans="1:19" s="281" customFormat="1" ht="28.5" hidden="1" customHeight="1" x14ac:dyDescent="0.3">
      <c r="A177" s="630" t="s">
        <v>232</v>
      </c>
      <c r="B177" s="632" t="s">
        <v>201</v>
      </c>
      <c r="C177" s="261"/>
      <c r="D177" s="261"/>
      <c r="E177" s="617" t="s">
        <v>202</v>
      </c>
      <c r="F177" s="617" t="s">
        <v>203</v>
      </c>
      <c r="G177" s="617" t="s">
        <v>204</v>
      </c>
      <c r="H177" s="617"/>
      <c r="I177" s="617"/>
      <c r="J177" s="639"/>
      <c r="K177" s="640"/>
      <c r="L177" s="640"/>
      <c r="M177" s="640"/>
      <c r="N177" s="640"/>
      <c r="O177" s="634"/>
      <c r="P177" s="634"/>
      <c r="Q177" s="280" t="s">
        <v>214</v>
      </c>
      <c r="R177" s="280" t="s">
        <v>215</v>
      </c>
    </row>
    <row r="178" spans="1:19" s="281" customFormat="1" ht="15" hidden="1" customHeight="1" x14ac:dyDescent="0.3">
      <c r="A178" s="631"/>
      <c r="B178" s="633"/>
      <c r="C178" s="262"/>
      <c r="D178" s="262"/>
      <c r="E178" s="618"/>
      <c r="F178" s="618"/>
      <c r="G178" s="618"/>
      <c r="H178" s="618"/>
      <c r="I178" s="618"/>
      <c r="J178" s="639"/>
      <c r="K178" s="640"/>
      <c r="L178" s="640"/>
      <c r="M178" s="640"/>
      <c r="N178" s="640"/>
      <c r="O178" s="634"/>
      <c r="P178" s="634"/>
      <c r="Q178" s="282"/>
      <c r="R178" s="282"/>
    </row>
    <row r="179" spans="1:19" s="284" customFormat="1" ht="15.75" hidden="1" customHeight="1" x14ac:dyDescent="0.3">
      <c r="A179" s="263">
        <v>32</v>
      </c>
      <c r="B179" s="264" t="s">
        <v>33</v>
      </c>
      <c r="C179" s="264"/>
      <c r="D179" s="264"/>
      <c r="E179" s="344">
        <f>SUM(E180:E180)</f>
        <v>20000</v>
      </c>
      <c r="F179" s="344">
        <f>SUM(F180:F180)</f>
        <v>10000</v>
      </c>
      <c r="G179" s="345">
        <f>SUM(G180:G180)</f>
        <v>10000</v>
      </c>
      <c r="H179" s="345"/>
      <c r="I179" s="345"/>
      <c r="J179" s="274"/>
      <c r="K179" s="274"/>
      <c r="L179" s="274"/>
      <c r="M179" s="274"/>
      <c r="N179" s="274"/>
      <c r="O179" s="274"/>
      <c r="P179" s="274"/>
      <c r="Q179" s="284">
        <v>0</v>
      </c>
      <c r="R179" s="284">
        <v>0</v>
      </c>
      <c r="S179" s="284">
        <f>SUM(F179:M179)</f>
        <v>20000</v>
      </c>
    </row>
    <row r="180" spans="1:19" ht="14.25" hidden="1" customHeight="1" x14ac:dyDescent="0.3">
      <c r="A180" s="267">
        <v>322</v>
      </c>
      <c r="B180" s="268" t="s">
        <v>151</v>
      </c>
      <c r="C180" s="268"/>
      <c r="D180" s="268"/>
      <c r="E180" s="354">
        <v>20000</v>
      </c>
      <c r="F180" s="354">
        <v>10000</v>
      </c>
      <c r="G180" s="366">
        <v>10000</v>
      </c>
      <c r="H180" s="366"/>
      <c r="I180" s="366"/>
      <c r="J180" s="285"/>
      <c r="K180" s="285"/>
      <c r="L180" s="285"/>
      <c r="M180" s="285"/>
      <c r="N180" s="285"/>
      <c r="O180" s="285"/>
      <c r="P180" s="285"/>
      <c r="Q180" s="256">
        <v>0</v>
      </c>
      <c r="R180" s="256">
        <v>0</v>
      </c>
      <c r="S180" s="284"/>
    </row>
    <row r="181" spans="1:19" ht="31.2" hidden="1" customHeight="1" x14ac:dyDescent="0.3">
      <c r="A181" s="275">
        <v>42</v>
      </c>
      <c r="B181" s="276" t="s">
        <v>40</v>
      </c>
      <c r="C181" s="276"/>
      <c r="D181" s="276"/>
      <c r="E181" s="352">
        <f>SUM(E182:E182)</f>
        <v>80000</v>
      </c>
      <c r="F181" s="352">
        <f>SUM(F182:F182)</f>
        <v>90000</v>
      </c>
      <c r="G181" s="353">
        <f>SUM(G182:G182)</f>
        <v>90000</v>
      </c>
      <c r="H181" s="353"/>
      <c r="I181" s="353"/>
      <c r="J181" s="274"/>
      <c r="K181" s="274"/>
      <c r="L181" s="274"/>
      <c r="M181" s="274"/>
      <c r="N181" s="274"/>
      <c r="O181" s="274"/>
      <c r="P181" s="274"/>
      <c r="S181" s="284">
        <f>SUM(F181:M181)</f>
        <v>180000</v>
      </c>
    </row>
    <row r="182" spans="1:19" ht="15.6" hidden="1" customHeight="1" x14ac:dyDescent="0.3">
      <c r="A182" s="269">
        <v>423</v>
      </c>
      <c r="B182" s="270" t="s">
        <v>255</v>
      </c>
      <c r="C182" s="270"/>
      <c r="D182" s="270"/>
      <c r="E182" s="356">
        <v>80000</v>
      </c>
      <c r="F182" s="356">
        <v>90000</v>
      </c>
      <c r="G182" s="357">
        <v>90000</v>
      </c>
      <c r="H182" s="357"/>
      <c r="I182" s="357"/>
      <c r="J182" s="285"/>
      <c r="K182" s="285"/>
      <c r="L182" s="285"/>
      <c r="M182" s="285"/>
      <c r="N182" s="285"/>
      <c r="O182" s="285"/>
      <c r="P182" s="285"/>
      <c r="S182" s="284"/>
    </row>
    <row r="183" spans="1:19" s="279" customFormat="1" ht="15.6" hidden="1" customHeight="1" x14ac:dyDescent="0.3">
      <c r="A183" s="627" t="s">
        <v>235</v>
      </c>
      <c r="B183" s="628"/>
      <c r="C183" s="293"/>
      <c r="D183" s="293"/>
      <c r="E183" s="350">
        <f>SUM(E179,E181)</f>
        <v>100000</v>
      </c>
      <c r="F183" s="350">
        <f>SUM(F179,F181)</f>
        <v>100000</v>
      </c>
      <c r="G183" s="350">
        <f>SUM(G179,G181)</f>
        <v>100000</v>
      </c>
      <c r="H183" s="350"/>
      <c r="I183" s="350"/>
      <c r="J183" s="274"/>
      <c r="K183" s="274"/>
      <c r="L183" s="274"/>
      <c r="M183" s="274"/>
      <c r="N183" s="274"/>
      <c r="O183" s="274"/>
      <c r="P183" s="274"/>
      <c r="Q183" s="305" t="e">
        <f>SUM(#REF!,Q179,#REF!,#REF!,Q181)</f>
        <v>#REF!</v>
      </c>
      <c r="R183" s="272" t="e">
        <f>SUM(#REF!,R179,#REF!,#REF!,R181)</f>
        <v>#REF!</v>
      </c>
      <c r="S183" s="272" t="e">
        <f>SUM(#REF!,S179,#REF!,#REF!,S181)</f>
        <v>#REF!</v>
      </c>
    </row>
    <row r="184" spans="1:19" ht="10.5" hidden="1" customHeight="1" x14ac:dyDescent="0.3"/>
    <row r="185" spans="1:19" ht="15.6" hidden="1" customHeight="1" x14ac:dyDescent="0.3">
      <c r="A185" s="637" t="s">
        <v>256</v>
      </c>
      <c r="B185" s="637"/>
      <c r="C185" s="637"/>
      <c r="D185" s="637"/>
      <c r="E185" s="637"/>
      <c r="F185" s="637"/>
      <c r="G185" s="637"/>
      <c r="H185" s="256"/>
      <c r="I185" s="256"/>
    </row>
    <row r="186" spans="1:19" ht="15.6" hidden="1" customHeight="1" x14ac:dyDescent="0.3">
      <c r="A186" s="279" t="s">
        <v>257</v>
      </c>
    </row>
    <row r="187" spans="1:19" s="281" customFormat="1" ht="19.5" hidden="1" customHeight="1" x14ac:dyDescent="0.3">
      <c r="A187" s="630" t="s">
        <v>232</v>
      </c>
      <c r="B187" s="632" t="s">
        <v>201</v>
      </c>
      <c r="C187" s="261"/>
      <c r="D187" s="261"/>
      <c r="E187" s="617" t="s">
        <v>202</v>
      </c>
      <c r="F187" s="617" t="s">
        <v>203</v>
      </c>
      <c r="G187" s="617" t="s">
        <v>204</v>
      </c>
      <c r="H187" s="617"/>
      <c r="I187" s="617"/>
      <c r="J187" s="639"/>
      <c r="K187" s="640"/>
      <c r="L187" s="640"/>
      <c r="M187" s="640"/>
      <c r="N187" s="640"/>
      <c r="O187" s="634"/>
      <c r="P187" s="634"/>
      <c r="Q187" s="280" t="s">
        <v>214</v>
      </c>
      <c r="R187" s="280" t="s">
        <v>215</v>
      </c>
    </row>
    <row r="188" spans="1:19" s="281" customFormat="1" ht="25.5" hidden="1" customHeight="1" x14ac:dyDescent="0.3">
      <c r="A188" s="631"/>
      <c r="B188" s="633"/>
      <c r="C188" s="262"/>
      <c r="D188" s="262"/>
      <c r="E188" s="618"/>
      <c r="F188" s="618"/>
      <c r="G188" s="618"/>
      <c r="H188" s="618"/>
      <c r="I188" s="618"/>
      <c r="J188" s="639"/>
      <c r="K188" s="640"/>
      <c r="L188" s="640"/>
      <c r="M188" s="640"/>
      <c r="N188" s="640"/>
      <c r="O188" s="634"/>
      <c r="P188" s="634"/>
      <c r="Q188" s="282"/>
      <c r="R188" s="282"/>
    </row>
    <row r="189" spans="1:19" s="284" customFormat="1" ht="15.75" hidden="1" customHeight="1" x14ac:dyDescent="0.3">
      <c r="A189" s="263">
        <v>32</v>
      </c>
      <c r="B189" s="264" t="s">
        <v>33</v>
      </c>
      <c r="C189" s="264"/>
      <c r="D189" s="264"/>
      <c r="E189" s="344">
        <f>SUM(E190:E191)</f>
        <v>342462</v>
      </c>
      <c r="F189" s="344">
        <f>SUM(F190:F191)</f>
        <v>0</v>
      </c>
      <c r="G189" s="345">
        <f>SUM(G190:G191)</f>
        <v>0</v>
      </c>
      <c r="H189" s="345"/>
      <c r="I189" s="345"/>
      <c r="J189" s="274"/>
      <c r="K189" s="274"/>
      <c r="L189" s="274"/>
      <c r="M189" s="274"/>
      <c r="N189" s="274"/>
      <c r="O189" s="274"/>
      <c r="P189" s="274"/>
      <c r="Q189" s="284">
        <v>0</v>
      </c>
      <c r="R189" s="284">
        <v>0</v>
      </c>
      <c r="S189" s="284">
        <f>SUM(F189:M189)</f>
        <v>0</v>
      </c>
    </row>
    <row r="190" spans="1:19" ht="12.75" hidden="1" customHeight="1" x14ac:dyDescent="0.3">
      <c r="A190" s="267">
        <v>321</v>
      </c>
      <c r="B190" s="268" t="s">
        <v>150</v>
      </c>
      <c r="C190" s="268"/>
      <c r="D190" s="268"/>
      <c r="E190" s="354">
        <v>177000</v>
      </c>
      <c r="F190" s="365"/>
      <c r="G190" s="366"/>
      <c r="H190" s="366"/>
      <c r="I190" s="366"/>
      <c r="J190" s="285"/>
      <c r="K190" s="285"/>
      <c r="L190" s="285"/>
      <c r="M190" s="285"/>
      <c r="N190" s="285"/>
      <c r="O190" s="285"/>
      <c r="P190" s="285"/>
      <c r="Q190" s="256">
        <v>0</v>
      </c>
      <c r="R190" s="256">
        <v>0</v>
      </c>
      <c r="S190" s="284"/>
    </row>
    <row r="191" spans="1:19" ht="18" hidden="1" customHeight="1" x14ac:dyDescent="0.3">
      <c r="A191" s="267">
        <v>323</v>
      </c>
      <c r="B191" s="268" t="s">
        <v>152</v>
      </c>
      <c r="C191" s="268"/>
      <c r="D191" s="268"/>
      <c r="E191" s="354">
        <v>165462</v>
      </c>
      <c r="F191" s="354"/>
      <c r="G191" s="366"/>
      <c r="H191" s="366"/>
      <c r="I191" s="366"/>
      <c r="J191" s="285"/>
      <c r="K191" s="285"/>
      <c r="L191" s="285"/>
      <c r="M191" s="285"/>
      <c r="N191" s="285"/>
      <c r="O191" s="285"/>
      <c r="P191" s="285"/>
      <c r="S191" s="284"/>
    </row>
    <row r="192" spans="1:19" ht="31.2" hidden="1" customHeight="1" x14ac:dyDescent="0.3">
      <c r="A192" s="275">
        <v>42</v>
      </c>
      <c r="B192" s="276" t="s">
        <v>258</v>
      </c>
      <c r="C192" s="276"/>
      <c r="D192" s="276"/>
      <c r="E192" s="352">
        <f>SUM(E193)</f>
        <v>17583221</v>
      </c>
      <c r="F192" s="352">
        <f>SUM(F193)</f>
        <v>0</v>
      </c>
      <c r="G192" s="353">
        <f>SUM(G193)</f>
        <v>0</v>
      </c>
      <c r="H192" s="353"/>
      <c r="I192" s="353"/>
      <c r="J192" s="274"/>
      <c r="K192" s="274"/>
      <c r="L192" s="274"/>
      <c r="M192" s="274"/>
      <c r="N192" s="274"/>
      <c r="O192" s="274"/>
      <c r="P192" s="274"/>
      <c r="S192" s="284">
        <f>SUM(F192:M192)</f>
        <v>0</v>
      </c>
    </row>
    <row r="193" spans="1:19" ht="15.6" hidden="1" customHeight="1" x14ac:dyDescent="0.3">
      <c r="A193" s="267">
        <v>422</v>
      </c>
      <c r="B193" s="268" t="s">
        <v>153</v>
      </c>
      <c r="C193" s="268"/>
      <c r="D193" s="268"/>
      <c r="E193" s="354">
        <v>17583221</v>
      </c>
      <c r="F193" s="354"/>
      <c r="G193" s="355"/>
      <c r="H193" s="355"/>
      <c r="I193" s="355"/>
      <c r="J193" s="285"/>
      <c r="K193" s="285"/>
      <c r="L193" s="285"/>
      <c r="M193" s="285"/>
      <c r="N193" s="285"/>
      <c r="O193" s="285"/>
      <c r="P193" s="285"/>
      <c r="S193" s="284"/>
    </row>
    <row r="194" spans="1:19" s="284" customFormat="1" ht="31.2" hidden="1" customHeight="1" x14ac:dyDescent="0.3">
      <c r="A194" s="275">
        <v>45</v>
      </c>
      <c r="B194" s="276" t="s">
        <v>259</v>
      </c>
      <c r="C194" s="276"/>
      <c r="D194" s="276"/>
      <c r="E194" s="352">
        <f>SUM(E195)</f>
        <v>15300000</v>
      </c>
      <c r="F194" s="352">
        <f>SUM(F195)</f>
        <v>0</v>
      </c>
      <c r="G194" s="353">
        <f>SUM(G195)</f>
        <v>0</v>
      </c>
      <c r="H194" s="353"/>
      <c r="I194" s="353"/>
      <c r="J194" s="274"/>
      <c r="K194" s="274"/>
      <c r="L194" s="274"/>
      <c r="M194" s="274"/>
      <c r="N194" s="274"/>
      <c r="O194" s="274"/>
      <c r="P194" s="274"/>
    </row>
    <row r="195" spans="1:19" ht="15.6" hidden="1" customHeight="1" x14ac:dyDescent="0.3">
      <c r="A195" s="267">
        <v>451</v>
      </c>
      <c r="B195" s="268" t="s">
        <v>147</v>
      </c>
      <c r="C195" s="268"/>
      <c r="D195" s="268"/>
      <c r="E195" s="354">
        <v>15300000</v>
      </c>
      <c r="F195" s="354"/>
      <c r="G195" s="355"/>
      <c r="H195" s="355"/>
      <c r="I195" s="355"/>
      <c r="J195" s="285"/>
      <c r="K195" s="285"/>
      <c r="L195" s="285"/>
      <c r="M195" s="285"/>
      <c r="N195" s="285"/>
      <c r="O195" s="285"/>
      <c r="P195" s="285"/>
    </row>
    <row r="196" spans="1:19" s="279" customFormat="1" ht="15.6" hidden="1" customHeight="1" x14ac:dyDescent="0.3">
      <c r="A196" s="641" t="s">
        <v>235</v>
      </c>
      <c r="B196" s="642"/>
      <c r="C196" s="332"/>
      <c r="D196" s="332"/>
      <c r="E196" s="377">
        <f>SUM(E189,E192,E194)</f>
        <v>33225683</v>
      </c>
      <c r="F196" s="377">
        <f>SUM(F189,F192,F194)</f>
        <v>0</v>
      </c>
      <c r="G196" s="377">
        <f>SUM(G189,G192,G194)</f>
        <v>0</v>
      </c>
      <c r="H196" s="377"/>
      <c r="I196" s="377"/>
      <c r="J196" s="274"/>
      <c r="K196" s="274"/>
      <c r="L196" s="274"/>
      <c r="M196" s="274"/>
      <c r="N196" s="274"/>
      <c r="O196" s="274"/>
      <c r="P196" s="274"/>
      <c r="Q196" s="305" t="e">
        <f>SUM(#REF!,Q189,#REF!,#REF!,Q192)</f>
        <v>#REF!</v>
      </c>
      <c r="R196" s="272" t="e">
        <f>SUM(#REF!,R189,#REF!,#REF!,R192)</f>
        <v>#REF!</v>
      </c>
      <c r="S196" s="272" t="e">
        <f>SUM(#REF!,S189,#REF!,#REF!,S192)</f>
        <v>#REF!</v>
      </c>
    </row>
    <row r="197" spans="1:19" s="333" customFormat="1" ht="11.25" hidden="1" customHeight="1" x14ac:dyDescent="0.3">
      <c r="A197" s="300"/>
      <c r="E197" s="378"/>
      <c r="F197" s="379"/>
      <c r="G197" s="378"/>
      <c r="H197" s="378"/>
      <c r="I197" s="378"/>
      <c r="J197" s="331"/>
    </row>
    <row r="198" spans="1:19" ht="15.6" hidden="1" customHeight="1" x14ac:dyDescent="0.3">
      <c r="A198" s="637" t="s">
        <v>260</v>
      </c>
      <c r="B198" s="637"/>
      <c r="C198" s="637"/>
      <c r="D198" s="637"/>
      <c r="E198" s="637"/>
      <c r="F198" s="637"/>
      <c r="G198" s="637"/>
      <c r="H198" s="334"/>
      <c r="I198" s="334"/>
      <c r="J198" s="394"/>
      <c r="K198" s="334"/>
      <c r="L198" s="334"/>
      <c r="M198" s="334"/>
      <c r="N198" s="334"/>
      <c r="O198" s="282"/>
      <c r="P198" s="282"/>
    </row>
    <row r="199" spans="1:19" ht="14.25" hidden="1" customHeight="1" x14ac:dyDescent="0.3">
      <c r="A199" s="335"/>
      <c r="B199" s="335"/>
      <c r="C199" s="335"/>
      <c r="D199" s="335"/>
      <c r="E199" s="380"/>
      <c r="F199" s="380"/>
      <c r="G199" s="380"/>
      <c r="H199" s="380"/>
      <c r="I199" s="380"/>
      <c r="J199" s="394"/>
      <c r="K199" s="334"/>
      <c r="L199" s="334"/>
      <c r="M199" s="334"/>
      <c r="N199" s="334"/>
      <c r="O199" s="282"/>
      <c r="P199" s="282"/>
    </row>
    <row r="200" spans="1:19" ht="15.6" hidden="1" customHeight="1" x14ac:dyDescent="0.3">
      <c r="A200" s="279" t="s">
        <v>257</v>
      </c>
    </row>
    <row r="201" spans="1:19" s="281" customFormat="1" ht="27.75" hidden="1" customHeight="1" x14ac:dyDescent="0.3">
      <c r="A201" s="630" t="s">
        <v>232</v>
      </c>
      <c r="B201" s="632" t="s">
        <v>201</v>
      </c>
      <c r="C201" s="261"/>
      <c r="D201" s="261"/>
      <c r="E201" s="617" t="s">
        <v>202</v>
      </c>
      <c r="F201" s="617" t="s">
        <v>203</v>
      </c>
      <c r="G201" s="617" t="s">
        <v>204</v>
      </c>
      <c r="H201" s="617"/>
      <c r="I201" s="617"/>
      <c r="J201" s="639"/>
      <c r="K201" s="640"/>
      <c r="L201" s="640"/>
      <c r="M201" s="640"/>
      <c r="N201" s="640"/>
      <c r="O201" s="634"/>
      <c r="P201" s="634"/>
      <c r="Q201" s="280" t="s">
        <v>214</v>
      </c>
      <c r="R201" s="280" t="s">
        <v>215</v>
      </c>
    </row>
    <row r="202" spans="1:19" s="281" customFormat="1" ht="15" hidden="1" customHeight="1" x14ac:dyDescent="0.3">
      <c r="A202" s="631"/>
      <c r="B202" s="633"/>
      <c r="C202" s="262"/>
      <c r="D202" s="262"/>
      <c r="E202" s="618"/>
      <c r="F202" s="618"/>
      <c r="G202" s="618"/>
      <c r="H202" s="618"/>
      <c r="I202" s="618"/>
      <c r="J202" s="639"/>
      <c r="K202" s="640"/>
      <c r="L202" s="640"/>
      <c r="M202" s="640"/>
      <c r="N202" s="640"/>
      <c r="O202" s="634"/>
      <c r="P202" s="634"/>
      <c r="Q202" s="282"/>
      <c r="R202" s="282"/>
    </row>
    <row r="203" spans="1:19" s="284" customFormat="1" ht="31.2" hidden="1" customHeight="1" x14ac:dyDescent="0.3">
      <c r="A203" s="263">
        <v>45</v>
      </c>
      <c r="B203" s="264" t="s">
        <v>261</v>
      </c>
      <c r="C203" s="264"/>
      <c r="D203" s="264"/>
      <c r="E203" s="344">
        <f>SUM(E204)</f>
        <v>10687111</v>
      </c>
      <c r="F203" s="344">
        <f>SUM(F204)</f>
        <v>10687410</v>
      </c>
      <c r="G203" s="345">
        <f>SUM(G204)</f>
        <v>0</v>
      </c>
      <c r="H203" s="345"/>
      <c r="I203" s="345"/>
      <c r="J203" s="274"/>
      <c r="K203" s="274"/>
      <c r="L203" s="274"/>
      <c r="M203" s="274"/>
      <c r="N203" s="274"/>
      <c r="O203" s="274"/>
      <c r="P203" s="274"/>
    </row>
    <row r="204" spans="1:19" ht="16.5" hidden="1" customHeight="1" x14ac:dyDescent="0.3">
      <c r="A204" s="269">
        <v>451</v>
      </c>
      <c r="B204" s="270" t="s">
        <v>147</v>
      </c>
      <c r="C204" s="270"/>
      <c r="D204" s="270"/>
      <c r="E204" s="356">
        <v>10687111</v>
      </c>
      <c r="F204" s="356">
        <v>10687410</v>
      </c>
      <c r="G204" s="357"/>
      <c r="H204" s="357"/>
      <c r="I204" s="357"/>
      <c r="J204" s="285"/>
      <c r="K204" s="285"/>
      <c r="L204" s="285"/>
      <c r="M204" s="285"/>
      <c r="N204" s="285"/>
      <c r="O204" s="285"/>
      <c r="P204" s="285"/>
    </row>
    <row r="205" spans="1:19" s="279" customFormat="1" ht="15.6" hidden="1" customHeight="1" x14ac:dyDescent="0.3">
      <c r="A205" s="627" t="s">
        <v>235</v>
      </c>
      <c r="B205" s="628"/>
      <c r="C205" s="293"/>
      <c r="D205" s="293"/>
      <c r="E205" s="350">
        <f>SUM(E203)</f>
        <v>10687111</v>
      </c>
      <c r="F205" s="350">
        <f>SUM(F203)</f>
        <v>10687410</v>
      </c>
      <c r="G205" s="350">
        <f>SUM(G203)</f>
        <v>0</v>
      </c>
      <c r="H205" s="350"/>
      <c r="I205" s="350"/>
      <c r="J205" s="274"/>
      <c r="K205" s="274"/>
      <c r="L205" s="274"/>
      <c r="M205" s="274"/>
      <c r="N205" s="274"/>
      <c r="O205" s="274"/>
      <c r="P205" s="274"/>
      <c r="Q205" s="305" t="e">
        <f>SUM(#REF!,#REF!,#REF!,#REF!,#REF!)</f>
        <v>#REF!</v>
      </c>
      <c r="R205" s="272" t="e">
        <f>SUM(#REF!,#REF!,#REF!,#REF!,#REF!)</f>
        <v>#REF!</v>
      </c>
      <c r="S205" s="272" t="e">
        <f>SUM(#REF!,#REF!,#REF!,#REF!,#REF!)</f>
        <v>#REF!</v>
      </c>
    </row>
    <row r="206" spans="1:19" s="279" customFormat="1" ht="15.6" hidden="1" customHeight="1" x14ac:dyDescent="0.3">
      <c r="A206" s="273"/>
      <c r="B206" s="273"/>
      <c r="C206" s="273"/>
      <c r="D206" s="273"/>
      <c r="E206" s="351"/>
      <c r="F206" s="351"/>
      <c r="G206" s="351"/>
      <c r="H206" s="351"/>
      <c r="I206" s="351"/>
      <c r="J206" s="274"/>
      <c r="K206" s="274"/>
      <c r="L206" s="274"/>
      <c r="M206" s="274"/>
      <c r="N206" s="274"/>
      <c r="O206" s="274"/>
      <c r="P206" s="274"/>
      <c r="Q206" s="274"/>
      <c r="R206" s="274"/>
      <c r="S206" s="274"/>
    </row>
    <row r="207" spans="1:19" ht="15.6" hidden="1" customHeight="1" x14ac:dyDescent="0.3">
      <c r="A207" s="637" t="s">
        <v>262</v>
      </c>
      <c r="B207" s="637"/>
      <c r="C207" s="637"/>
      <c r="D207" s="637"/>
      <c r="E207" s="637"/>
      <c r="F207" s="637"/>
      <c r="G207" s="637"/>
      <c r="H207" s="274"/>
      <c r="I207" s="274"/>
      <c r="J207" s="274"/>
      <c r="K207" s="274"/>
      <c r="L207" s="274"/>
      <c r="M207" s="274"/>
      <c r="N207" s="274"/>
      <c r="O207" s="274"/>
      <c r="P207" s="274"/>
    </row>
    <row r="208" spans="1:19" ht="15.6" hidden="1" customHeight="1" x14ac:dyDescent="0.3">
      <c r="A208" s="279" t="s">
        <v>257</v>
      </c>
    </row>
    <row r="209" spans="1:19" s="281" customFormat="1" ht="28.5" hidden="1" customHeight="1" x14ac:dyDescent="0.3">
      <c r="A209" s="630" t="s">
        <v>232</v>
      </c>
      <c r="B209" s="632" t="s">
        <v>201</v>
      </c>
      <c r="C209" s="261"/>
      <c r="D209" s="261"/>
      <c r="E209" s="617" t="s">
        <v>202</v>
      </c>
      <c r="F209" s="617" t="s">
        <v>203</v>
      </c>
      <c r="G209" s="617" t="s">
        <v>204</v>
      </c>
      <c r="H209" s="617"/>
      <c r="I209" s="617"/>
      <c r="J209" s="639"/>
      <c r="K209" s="640"/>
      <c r="L209" s="640"/>
      <c r="M209" s="640"/>
      <c r="N209" s="640"/>
      <c r="O209" s="634"/>
      <c r="P209" s="634"/>
      <c r="Q209" s="280" t="s">
        <v>214</v>
      </c>
      <c r="R209" s="280" t="s">
        <v>215</v>
      </c>
    </row>
    <row r="210" spans="1:19" s="281" customFormat="1" ht="15" hidden="1" customHeight="1" x14ac:dyDescent="0.3">
      <c r="A210" s="631"/>
      <c r="B210" s="633"/>
      <c r="C210" s="262"/>
      <c r="D210" s="262"/>
      <c r="E210" s="618"/>
      <c r="F210" s="618"/>
      <c r="G210" s="618"/>
      <c r="H210" s="618"/>
      <c r="I210" s="618"/>
      <c r="J210" s="639"/>
      <c r="K210" s="640"/>
      <c r="L210" s="640"/>
      <c r="M210" s="640"/>
      <c r="N210" s="640"/>
      <c r="O210" s="634"/>
      <c r="P210" s="634"/>
      <c r="Q210" s="282"/>
      <c r="R210" s="282"/>
    </row>
    <row r="211" spans="1:19" ht="31.2" hidden="1" customHeight="1" x14ac:dyDescent="0.3">
      <c r="A211" s="263">
        <v>42</v>
      </c>
      <c r="B211" s="264" t="s">
        <v>40</v>
      </c>
      <c r="C211" s="264"/>
      <c r="D211" s="264"/>
      <c r="E211" s="344">
        <f>SUM(E212)</f>
        <v>6000000</v>
      </c>
      <c r="F211" s="344">
        <f>SUM(F212)</f>
        <v>0</v>
      </c>
      <c r="G211" s="345">
        <f>SUM(G212)</f>
        <v>0</v>
      </c>
      <c r="H211" s="345"/>
      <c r="I211" s="345"/>
      <c r="J211" s="274"/>
      <c r="K211" s="274"/>
      <c r="L211" s="274"/>
      <c r="M211" s="274"/>
      <c r="N211" s="274"/>
      <c r="O211" s="274"/>
      <c r="P211" s="274"/>
      <c r="S211" s="284">
        <f>SUM(F211:M211)</f>
        <v>0</v>
      </c>
    </row>
    <row r="212" spans="1:19" ht="15.6" hidden="1" customHeight="1" x14ac:dyDescent="0.3">
      <c r="A212" s="267">
        <v>422</v>
      </c>
      <c r="B212" s="268" t="s">
        <v>153</v>
      </c>
      <c r="C212" s="268"/>
      <c r="D212" s="268"/>
      <c r="E212" s="354">
        <v>6000000</v>
      </c>
      <c r="F212" s="354"/>
      <c r="G212" s="355"/>
      <c r="H212" s="355"/>
      <c r="I212" s="355"/>
      <c r="J212" s="285"/>
      <c r="K212" s="285"/>
      <c r="L212" s="285"/>
      <c r="M212" s="285"/>
      <c r="N212" s="285"/>
      <c r="O212" s="285"/>
      <c r="P212" s="285"/>
      <c r="S212" s="284"/>
    </row>
    <row r="213" spans="1:19" s="284" customFormat="1" ht="31.2" hidden="1" customHeight="1" x14ac:dyDescent="0.3">
      <c r="A213" s="275">
        <v>45</v>
      </c>
      <c r="B213" s="276" t="s">
        <v>261</v>
      </c>
      <c r="C213" s="276"/>
      <c r="D213" s="276"/>
      <c r="E213" s="352">
        <f>SUM(E214)</f>
        <v>2500000</v>
      </c>
      <c r="F213" s="352">
        <f>SUM(F214)</f>
        <v>0</v>
      </c>
      <c r="G213" s="353">
        <f>SUM(G214)</f>
        <v>0</v>
      </c>
      <c r="H213" s="353"/>
      <c r="I213" s="353"/>
      <c r="J213" s="274"/>
      <c r="K213" s="274"/>
      <c r="L213" s="274"/>
      <c r="M213" s="274"/>
      <c r="N213" s="274"/>
      <c r="O213" s="274"/>
      <c r="P213" s="274"/>
    </row>
    <row r="214" spans="1:19" ht="15.6" hidden="1" customHeight="1" x14ac:dyDescent="0.3">
      <c r="A214" s="269">
        <v>451</v>
      </c>
      <c r="B214" s="270" t="s">
        <v>147</v>
      </c>
      <c r="C214" s="270"/>
      <c r="D214" s="270"/>
      <c r="E214" s="356">
        <v>2500000</v>
      </c>
      <c r="F214" s="356"/>
      <c r="G214" s="357"/>
      <c r="H214" s="357"/>
      <c r="I214" s="357"/>
      <c r="J214" s="285"/>
      <c r="K214" s="285"/>
      <c r="L214" s="285"/>
      <c r="M214" s="285"/>
      <c r="N214" s="285"/>
      <c r="O214" s="285"/>
      <c r="P214" s="285"/>
    </row>
    <row r="215" spans="1:19" s="279" customFormat="1" ht="15.6" hidden="1" customHeight="1" x14ac:dyDescent="0.3">
      <c r="A215" s="627" t="s">
        <v>235</v>
      </c>
      <c r="B215" s="628"/>
      <c r="C215" s="293"/>
      <c r="D215" s="293"/>
      <c r="E215" s="350">
        <f>SUM(E211,E213)</f>
        <v>8500000</v>
      </c>
      <c r="F215" s="350">
        <f>SUM(F211,F213)</f>
        <v>0</v>
      </c>
      <c r="G215" s="350">
        <f>SUM(G211,G213)</f>
        <v>0</v>
      </c>
      <c r="H215" s="350"/>
      <c r="I215" s="350"/>
      <c r="J215" s="274"/>
      <c r="K215" s="274"/>
      <c r="L215" s="274"/>
      <c r="M215" s="274"/>
      <c r="N215" s="274"/>
      <c r="O215" s="274"/>
      <c r="P215" s="274"/>
      <c r="Q215" s="305" t="e">
        <f>SUM(#REF!,#REF!,#REF!,#REF!,Q211)</f>
        <v>#REF!</v>
      </c>
      <c r="R215" s="272" t="e">
        <f>SUM(#REF!,#REF!,#REF!,#REF!,R211)</f>
        <v>#REF!</v>
      </c>
      <c r="S215" s="272" t="e">
        <f>SUM(#REF!,#REF!,#REF!,#REF!,S211)</f>
        <v>#REF!</v>
      </c>
    </row>
    <row r="216" spans="1:19" ht="22.5" hidden="1" customHeight="1" x14ac:dyDescent="0.3">
      <c r="A216" s="635" t="s">
        <v>263</v>
      </c>
      <c r="B216" s="635"/>
      <c r="C216" s="635"/>
      <c r="D216" s="635"/>
      <c r="E216" s="635"/>
      <c r="F216" s="635"/>
      <c r="G216" s="635"/>
      <c r="H216" s="256"/>
      <c r="I216" s="256"/>
    </row>
    <row r="217" spans="1:19" ht="15.6" hidden="1" customHeight="1" x14ac:dyDescent="0.3"/>
    <row r="218" spans="1:19" ht="15.6" hidden="1" customHeight="1" x14ac:dyDescent="0.3">
      <c r="A218" s="330">
        <v>1</v>
      </c>
      <c r="B218" s="279" t="s">
        <v>16</v>
      </c>
      <c r="C218" s="279"/>
      <c r="D218" s="279"/>
      <c r="E218" s="381">
        <f>SUM(E70)</f>
        <v>4243113</v>
      </c>
      <c r="F218" s="381">
        <f>SUM(F70)</f>
        <v>4243113</v>
      </c>
      <c r="G218" s="381">
        <f>SUM(G70)</f>
        <v>4243113</v>
      </c>
      <c r="H218" s="381"/>
      <c r="I218" s="381"/>
    </row>
    <row r="219" spans="1:19" ht="15.6" hidden="1" customHeight="1" x14ac:dyDescent="0.3">
      <c r="A219" s="330">
        <v>3</v>
      </c>
      <c r="B219" s="279" t="s">
        <v>264</v>
      </c>
      <c r="C219" s="279"/>
      <c r="D219" s="279"/>
      <c r="E219" s="381">
        <f>SUM(E84)</f>
        <v>2600000</v>
      </c>
      <c r="F219" s="381">
        <f>SUM(F84)</f>
        <v>2600000</v>
      </c>
      <c r="G219" s="381">
        <f>SUM(G84)</f>
        <v>2600000</v>
      </c>
      <c r="H219" s="381"/>
      <c r="I219" s="381"/>
    </row>
    <row r="220" spans="1:19" ht="15.6" hidden="1" customHeight="1" x14ac:dyDescent="0.3">
      <c r="A220" s="330">
        <v>4</v>
      </c>
      <c r="B220" s="279" t="s">
        <v>245</v>
      </c>
      <c r="C220" s="279"/>
      <c r="D220" s="279"/>
      <c r="E220" s="381">
        <f>SUM(E103)</f>
        <v>133878715</v>
      </c>
      <c r="F220" s="381">
        <f>SUM(F103)</f>
        <v>133103420</v>
      </c>
      <c r="G220" s="381">
        <f>SUM(G103)</f>
        <v>133093420</v>
      </c>
      <c r="H220" s="381"/>
      <c r="I220" s="381"/>
    </row>
    <row r="221" spans="1:19" ht="15.6" hidden="1" customHeight="1" x14ac:dyDescent="0.3">
      <c r="A221" s="330">
        <v>5</v>
      </c>
      <c r="B221" s="279" t="s">
        <v>265</v>
      </c>
      <c r="C221" s="279"/>
      <c r="D221" s="279"/>
      <c r="E221" s="381">
        <f>SUM(E196,E205,E215)</f>
        <v>52412794</v>
      </c>
      <c r="F221" s="381">
        <f>SUM(F196,F205,F215)</f>
        <v>10687410</v>
      </c>
      <c r="G221" s="381">
        <f>SUM(G196,G205,G215)</f>
        <v>0</v>
      </c>
      <c r="H221" s="381"/>
      <c r="I221" s="381"/>
    </row>
    <row r="222" spans="1:19" ht="15.6" hidden="1" customHeight="1" x14ac:dyDescent="0.3">
      <c r="A222" s="330">
        <v>6</v>
      </c>
      <c r="B222" s="279" t="s">
        <v>266</v>
      </c>
      <c r="C222" s="279"/>
      <c r="D222" s="279"/>
      <c r="E222" s="381">
        <f>SUM(E114)</f>
        <v>1140740</v>
      </c>
      <c r="F222" s="381">
        <f>SUM(F114)</f>
        <v>1000000</v>
      </c>
      <c r="G222" s="381">
        <f>SUM(G114)</f>
        <v>1000000</v>
      </c>
      <c r="H222" s="381"/>
      <c r="I222" s="381"/>
    </row>
    <row r="223" spans="1:19" ht="31.2" hidden="1" customHeight="1" x14ac:dyDescent="0.3">
      <c r="A223" s="325">
        <v>7</v>
      </c>
      <c r="B223" s="336" t="s">
        <v>247</v>
      </c>
      <c r="C223" s="336"/>
      <c r="D223" s="336"/>
      <c r="E223" s="351">
        <f>SUM(E183)</f>
        <v>100000</v>
      </c>
      <c r="F223" s="351">
        <f>SUM(F183)</f>
        <v>100000</v>
      </c>
      <c r="G223" s="351">
        <f>SUM(G183)</f>
        <v>100000</v>
      </c>
      <c r="H223" s="351"/>
      <c r="I223" s="351"/>
    </row>
    <row r="224" spans="1:19" ht="15.6" hidden="1" customHeight="1" x14ac:dyDescent="0.3">
      <c r="A224" s="330"/>
      <c r="B224" s="279"/>
      <c r="C224" s="279"/>
      <c r="D224" s="279"/>
      <c r="E224" s="381"/>
      <c r="F224" s="381"/>
      <c r="G224" s="381"/>
      <c r="H224" s="381"/>
      <c r="I224" s="381"/>
    </row>
    <row r="225" spans="1:18" ht="15.6" hidden="1" customHeight="1" x14ac:dyDescent="0.3">
      <c r="A225" s="304"/>
      <c r="B225" s="279"/>
      <c r="C225" s="279"/>
      <c r="D225" s="279"/>
      <c r="E225" s="381">
        <f>SUM(E218,E219,E220,E221,E222,E223)</f>
        <v>194375362</v>
      </c>
      <c r="F225" s="381">
        <f>SUM(F218,F219,F220,F221,F222,F223)</f>
        <v>151733943</v>
      </c>
      <c r="G225" s="381">
        <f>SUM(G218,G219,G220,G221,G222,G223)</f>
        <v>141036533</v>
      </c>
      <c r="H225" s="381"/>
      <c r="I225" s="381"/>
    </row>
    <row r="226" spans="1:18" ht="15.6" hidden="1" customHeight="1" x14ac:dyDescent="0.3">
      <c r="A226" s="304"/>
      <c r="B226" s="279"/>
      <c r="C226" s="279"/>
      <c r="D226" s="279"/>
      <c r="E226" s="381"/>
      <c r="F226" s="381"/>
      <c r="G226" s="381"/>
      <c r="H226" s="381"/>
      <c r="I226" s="381"/>
    </row>
    <row r="227" spans="1:18" ht="27.75" hidden="1" customHeight="1" x14ac:dyDescent="0.3">
      <c r="A227" s="636" t="s">
        <v>267</v>
      </c>
      <c r="B227" s="636"/>
      <c r="C227" s="636"/>
      <c r="D227" s="636"/>
      <c r="E227" s="636"/>
      <c r="F227" s="636"/>
      <c r="G227" s="636"/>
      <c r="H227" s="256"/>
      <c r="I227" s="256"/>
      <c r="J227" s="395"/>
    </row>
    <row r="228" spans="1:18" ht="15.6" hidden="1" customHeight="1" x14ac:dyDescent="0.3">
      <c r="A228" s="637" t="s">
        <v>229</v>
      </c>
      <c r="B228" s="637"/>
      <c r="C228" s="637"/>
      <c r="D228" s="637"/>
      <c r="E228" s="637"/>
      <c r="F228" s="382"/>
      <c r="G228" s="382"/>
      <c r="H228" s="382"/>
      <c r="I228" s="382"/>
      <c r="J228" s="395"/>
    </row>
    <row r="229" spans="1:18" ht="25.5" hidden="1" customHeight="1" x14ac:dyDescent="0.3">
      <c r="A229" s="638" t="s">
        <v>268</v>
      </c>
      <c r="B229" s="638"/>
      <c r="C229" s="638"/>
      <c r="D229" s="638"/>
      <c r="E229" s="638"/>
      <c r="F229" s="638"/>
      <c r="G229" s="638"/>
      <c r="H229" s="256"/>
      <c r="I229" s="256"/>
      <c r="J229" s="395"/>
    </row>
    <row r="230" spans="1:18" ht="15.6" hidden="1" customHeight="1" x14ac:dyDescent="0.3">
      <c r="A230" s="630" t="s">
        <v>232</v>
      </c>
      <c r="B230" s="632" t="s">
        <v>201</v>
      </c>
      <c r="C230" s="261"/>
      <c r="D230" s="261"/>
      <c r="E230" s="617" t="s">
        <v>202</v>
      </c>
      <c r="F230" s="617" t="s">
        <v>203</v>
      </c>
      <c r="G230" s="617" t="s">
        <v>204</v>
      </c>
      <c r="H230" s="617"/>
      <c r="I230" s="617"/>
      <c r="J230" s="395"/>
    </row>
    <row r="231" spans="1:18" ht="37.5" hidden="1" customHeight="1" x14ac:dyDescent="0.3">
      <c r="A231" s="631"/>
      <c r="B231" s="633"/>
      <c r="C231" s="262"/>
      <c r="D231" s="262"/>
      <c r="E231" s="618"/>
      <c r="F231" s="618"/>
      <c r="G231" s="618"/>
      <c r="H231" s="618"/>
      <c r="I231" s="618"/>
      <c r="J231" s="395"/>
    </row>
    <row r="232" spans="1:18" ht="15.6" hidden="1" customHeight="1" x14ac:dyDescent="0.3">
      <c r="A232" s="263">
        <v>922</v>
      </c>
      <c r="B232" s="264" t="s">
        <v>269</v>
      </c>
      <c r="C232" s="264"/>
      <c r="D232" s="264"/>
      <c r="E232" s="344">
        <f>SUM(E233:E233)</f>
        <v>16761388</v>
      </c>
      <c r="F232" s="344">
        <f>SUM(F233:F233)</f>
        <v>10000000</v>
      </c>
      <c r="G232" s="345">
        <f>SUM(G233:G233)</f>
        <v>10000000</v>
      </c>
      <c r="H232" s="345"/>
      <c r="I232" s="345"/>
    </row>
    <row r="233" spans="1:18" ht="15.6" hidden="1" customHeight="1" x14ac:dyDescent="0.3">
      <c r="A233" s="269">
        <v>92221</v>
      </c>
      <c r="B233" s="270" t="s">
        <v>270</v>
      </c>
      <c r="C233" s="270"/>
      <c r="D233" s="270"/>
      <c r="E233" s="356">
        <v>16761388</v>
      </c>
      <c r="F233" s="356">
        <v>10000000</v>
      </c>
      <c r="G233" s="349">
        <v>10000000</v>
      </c>
      <c r="H233" s="349"/>
      <c r="I233" s="349"/>
    </row>
    <row r="234" spans="1:18" ht="15.6" hidden="1" customHeight="1" x14ac:dyDescent="0.3">
      <c r="A234" s="627" t="s">
        <v>235</v>
      </c>
      <c r="B234" s="628"/>
      <c r="C234" s="293"/>
      <c r="D234" s="293"/>
      <c r="E234" s="350">
        <f>SUM(E232)</f>
        <v>16761388</v>
      </c>
      <c r="F234" s="350">
        <f>SUM(F232)</f>
        <v>10000000</v>
      </c>
      <c r="G234" s="350">
        <f>SUM(G232)</f>
        <v>10000000</v>
      </c>
      <c r="H234" s="350"/>
      <c r="I234" s="350"/>
    </row>
    <row r="235" spans="1:18" ht="15.6" hidden="1" customHeight="1" x14ac:dyDescent="0.3">
      <c r="A235" s="273"/>
      <c r="B235" s="273"/>
      <c r="C235" s="273"/>
      <c r="D235" s="273"/>
      <c r="E235" s="351"/>
      <c r="F235" s="351"/>
      <c r="G235" s="351"/>
      <c r="H235" s="351"/>
      <c r="I235" s="351"/>
    </row>
    <row r="236" spans="1:18" ht="15.6" hidden="1" customHeight="1" x14ac:dyDescent="0.3">
      <c r="A236" s="304"/>
      <c r="B236" s="279"/>
      <c r="C236" s="279"/>
      <c r="D236" s="279"/>
      <c r="E236" s="381"/>
      <c r="F236" s="381"/>
      <c r="G236" s="381"/>
      <c r="H236" s="381"/>
      <c r="I236" s="381"/>
    </row>
    <row r="237" spans="1:18" ht="15.6" hidden="1" customHeight="1" x14ac:dyDescent="0.3">
      <c r="A237" s="627" t="s">
        <v>271</v>
      </c>
      <c r="B237" s="628"/>
      <c r="C237" s="293"/>
      <c r="D237" s="293"/>
      <c r="E237" s="383">
        <f>SUM(E70,E84,E103,E114,E183,E196,E205,E215)</f>
        <v>194375362</v>
      </c>
      <c r="F237" s="383">
        <f>SUM(F70,F84,F103,F114,F183,F196,F205,F215)</f>
        <v>151733943</v>
      </c>
      <c r="G237" s="383">
        <f>SUM(G70,G84,G103,G114,G183,G196,G205,G215)</f>
        <v>141036533</v>
      </c>
      <c r="H237" s="383"/>
      <c r="I237" s="383"/>
      <c r="J237" s="283"/>
      <c r="K237" s="279"/>
      <c r="L237" s="279"/>
      <c r="M237" s="279"/>
      <c r="N237" s="279"/>
      <c r="O237" s="279"/>
      <c r="P237" s="279"/>
      <c r="Q237" s="338" t="e">
        <f>SUM(#REF!,Q119,#REF!,Q146,Q159,Q173,#REF!)</f>
        <v>#REF!</v>
      </c>
      <c r="R237" s="337" t="e">
        <f>SUM(#REF!,R119,#REF!,R146,R159,R173,#REF!)</f>
        <v>#REF!</v>
      </c>
    </row>
    <row r="238" spans="1:18" ht="15.6" hidden="1" customHeight="1" x14ac:dyDescent="0.3">
      <c r="A238" s="627" t="s">
        <v>272</v>
      </c>
      <c r="B238" s="628"/>
      <c r="C238" s="293"/>
      <c r="D238" s="293"/>
      <c r="E238" s="360">
        <f>SUM(E237,E234)</f>
        <v>211136750</v>
      </c>
      <c r="F238" s="360">
        <f>SUM(F237,F234)</f>
        <v>161733943</v>
      </c>
      <c r="G238" s="360">
        <f>SUM(G237,G234)</f>
        <v>151036533</v>
      </c>
      <c r="H238" s="360"/>
      <c r="I238" s="360"/>
      <c r="J238" s="283"/>
      <c r="K238" s="279"/>
      <c r="L238" s="279"/>
      <c r="M238" s="279"/>
      <c r="N238" s="279"/>
      <c r="O238" s="279"/>
      <c r="P238" s="279"/>
      <c r="Q238" s="279"/>
      <c r="R238" s="279"/>
    </row>
    <row r="239" spans="1:18" ht="15.6" hidden="1" customHeight="1" x14ac:dyDescent="0.3">
      <c r="A239" s="273"/>
      <c r="B239" s="273"/>
      <c r="C239" s="273"/>
      <c r="D239" s="273"/>
      <c r="E239" s="372"/>
      <c r="F239" s="372"/>
      <c r="G239" s="372"/>
      <c r="H239" s="372"/>
      <c r="I239" s="372"/>
      <c r="J239" s="283"/>
      <c r="K239" s="279"/>
      <c r="L239" s="279"/>
      <c r="M239" s="279"/>
      <c r="N239" s="279"/>
      <c r="O239" s="279"/>
      <c r="P239" s="279"/>
      <c r="Q239" s="279"/>
      <c r="R239" s="279"/>
    </row>
    <row r="240" spans="1:18" x14ac:dyDescent="0.3">
      <c r="A240" s="339"/>
      <c r="B240" s="339"/>
      <c r="C240" s="339"/>
      <c r="D240" s="339"/>
      <c r="E240" s="384"/>
      <c r="F240" s="384"/>
      <c r="G240" s="384"/>
      <c r="H240" s="384"/>
      <c r="I240" s="384"/>
      <c r="J240" s="283"/>
      <c r="K240" s="279"/>
      <c r="L240" s="279"/>
      <c r="M240" s="279"/>
      <c r="N240" s="279"/>
      <c r="O240" s="279"/>
      <c r="P240" s="279"/>
      <c r="Q240" s="279"/>
      <c r="R240" s="279"/>
    </row>
    <row r="241" spans="1:10" ht="18" x14ac:dyDescent="0.3">
      <c r="A241" s="629" t="s">
        <v>273</v>
      </c>
      <c r="B241" s="629"/>
      <c r="C241" s="629"/>
      <c r="D241" s="629"/>
      <c r="E241" s="629"/>
      <c r="F241" s="629"/>
      <c r="G241" s="629"/>
      <c r="H241" s="256"/>
      <c r="I241" s="256"/>
      <c r="J241" s="396"/>
    </row>
    <row r="242" spans="1:10" ht="16.2" thickBot="1" x14ac:dyDescent="0.35">
      <c r="A242" s="340"/>
      <c r="B242" s="340"/>
      <c r="C242" s="340"/>
      <c r="D242" s="340"/>
      <c r="E242" s="385"/>
      <c r="F242" s="386"/>
      <c r="G242" s="386"/>
      <c r="H242" s="386"/>
      <c r="I242" s="386"/>
      <c r="J242" s="396"/>
    </row>
    <row r="243" spans="1:10" ht="34.5" customHeight="1" thickBot="1" x14ac:dyDescent="0.35">
      <c r="A243" s="425" t="s">
        <v>274</v>
      </c>
      <c r="B243" s="426" t="s">
        <v>275</v>
      </c>
      <c r="C243" s="427" t="s">
        <v>276</v>
      </c>
      <c r="D243" s="428" t="s">
        <v>277</v>
      </c>
      <c r="E243" s="67" t="s">
        <v>318</v>
      </c>
      <c r="F243" s="53" t="s">
        <v>319</v>
      </c>
      <c r="G243" s="53" t="s">
        <v>320</v>
      </c>
      <c r="H243" s="401" t="s">
        <v>295</v>
      </c>
      <c r="I243" s="401" t="s">
        <v>295</v>
      </c>
    </row>
    <row r="244" spans="1:10" s="399" customFormat="1" ht="18.75" customHeight="1" thickBot="1" x14ac:dyDescent="0.35">
      <c r="A244" s="435"/>
      <c r="B244" s="436">
        <v>1</v>
      </c>
      <c r="C244" s="436"/>
      <c r="D244" s="436"/>
      <c r="E244" s="437">
        <v>2</v>
      </c>
      <c r="F244" s="437">
        <v>3</v>
      </c>
      <c r="G244" s="437">
        <v>4</v>
      </c>
      <c r="H244" s="437" t="s">
        <v>175</v>
      </c>
      <c r="I244" s="438" t="s">
        <v>176</v>
      </c>
      <c r="J244" s="398"/>
    </row>
    <row r="245" spans="1:10" s="304" customFormat="1" x14ac:dyDescent="0.3">
      <c r="A245" s="429">
        <v>1</v>
      </c>
      <c r="B245" s="430" t="s">
        <v>278</v>
      </c>
      <c r="C245" s="430"/>
      <c r="D245" s="431"/>
      <c r="E245" s="432"/>
      <c r="F245" s="433"/>
      <c r="G245" s="433"/>
      <c r="H245" s="433"/>
      <c r="I245" s="434"/>
      <c r="J245" s="397"/>
    </row>
    <row r="246" spans="1:10" x14ac:dyDescent="0.3">
      <c r="A246" s="420"/>
      <c r="B246" s="403" t="s">
        <v>279</v>
      </c>
      <c r="C246" s="404" t="e">
        <f>SUM('[1]RAČUN PRIHODA I RASHODA'!#REF!)</f>
        <v>#REF!</v>
      </c>
      <c r="D246" s="404" t="e">
        <f>SUM('[1]RAČUN PRIHODA I RASHODA'!#REF!)</f>
        <v>#REF!</v>
      </c>
      <c r="E246" s="405">
        <f>'račun prihoda i rashoda-ekonom'!E57+'račun prihoda i rashoda-ekonom'!E58+'račun prihoda i rashoda-ekonom'!E63+'račun prihoda i rashoda-ekonom'!E64</f>
        <v>137175.24</v>
      </c>
      <c r="F246" s="405">
        <f>'račun prihoda i rashoda-ekonom'!F57+'račun prihoda i rashoda-ekonom'!F58+'račun prihoda i rashoda-ekonom'!F63+'račun prihoda i rashoda-ekonom'!F64</f>
        <v>236759.91</v>
      </c>
      <c r="G246" s="405">
        <f>'račun prihoda i rashoda-ekonom'!G57+'račun prihoda i rashoda-ekonom'!G58+'račun prihoda i rashoda-ekonom'!G63+'račun prihoda i rashoda-ekonom'!G64</f>
        <v>69286.63</v>
      </c>
      <c r="H246" s="405">
        <f>G246/E246*100</f>
        <v>50.509574468395321</v>
      </c>
      <c r="I246" s="421">
        <f>G246/F246*100</f>
        <v>29.264511039896917</v>
      </c>
    </row>
    <row r="247" spans="1:10" x14ac:dyDescent="0.3">
      <c r="A247" s="420"/>
      <c r="B247" s="403" t="s">
        <v>280</v>
      </c>
      <c r="C247" s="404" t="e">
        <f>SUM('[1]RAČUN PRIHODA I RASHODA'!#REF!,'[1]RAČUN PRIHODA I RASHODA'!#REF!,'[1]RAČUN PRIHODA I RASHODA'!#REF!)</f>
        <v>#REF!</v>
      </c>
      <c r="D247" s="404" t="e">
        <f>SUM('[1]RAČUN PRIHODA I RASHODA'!#REF!,'[1]RAČUN PRIHODA I RASHODA'!#REF!,'[1]RAČUN PRIHODA I RASHODA'!#REF!)</f>
        <v>#REF!</v>
      </c>
      <c r="E247" s="405">
        <f>'račun prihoda i rashoda-ekonom'!E94+'račun prihoda i rashoda-ekonom'!E105+'račun prihoda i rashoda-ekonom'!E112+'račun prihoda i rashoda-ekonom'!E119+'račun prihoda i rashoda-ekonom'!E120+'račun prihoda i rashoda-ekonom'!E126+'račun prihoda i rashoda-ekonom'!E131+'račun prihoda i rashoda-ekonom'!E135+'račun prihoda i rashoda-ekonom'!E136+'račun prihoda i rashoda-ekonom'!E149+'račun prihoda i rashoda-ekonom'!E150+'račun prihoda i rashoda-ekonom'!E153+'račun prihoda i rashoda-ekonom'!E158+'račun prihoda i rashoda-ekonom'!E165+'račun prihoda i rashoda-ekonom'!E168+'račun prihoda i rashoda-ekonom'!E174+'račun prihoda i rashoda-ekonom'!E179+'račun prihoda i rashoda-ekonom'!E182+'račun prihoda i rashoda-ekonom'!E185+'račun prihoda i rashoda-ekonom'!E186+'račun prihoda i rashoda-ekonom'!E190+'račun prihoda i rashoda-ekonom'!E191+'račun prihoda i rashoda-ekonom'!E197+'račun prihoda i rashoda-ekonom'!E200+'račun prihoda i rashoda-ekonom'!E205+'račun prihoda i rashoda-ekonom'!E208+'račun prihoda i rashoda-ekonom'!E212+'račun prihoda i rashoda-ekonom'!E216+'račun prihoda i rashoda-ekonom'!E221+'račun prihoda i rashoda-ekonom'!E222+'račun prihoda i rashoda-ekonom'!E230+'račun prihoda i rashoda-ekonom'!E233+'račun prihoda i rashoda-ekonom'!E248+'račun prihoda i rashoda-ekonom'!E249+'račun prihoda i rashoda-ekonom'!E261+'račun prihoda i rashoda-ekonom'!E266+'račun prihoda i rashoda-ekonom'!E275+'račun prihoda i rashoda-ekonom'!E282+'račun prihoda i rashoda-ekonom'!E288+'račun prihoda i rashoda-ekonom'!E289</f>
        <v>151959.41999999998</v>
      </c>
      <c r="F247" s="405">
        <f>'račun prihoda i rashoda-ekonom'!F94+'račun prihoda i rashoda-ekonom'!F105+'račun prihoda i rashoda-ekonom'!F112+'račun prihoda i rashoda-ekonom'!F119+'račun prihoda i rashoda-ekonom'!F120+'račun prihoda i rashoda-ekonom'!F126+'račun prihoda i rashoda-ekonom'!F131+'račun prihoda i rashoda-ekonom'!F135+'račun prihoda i rashoda-ekonom'!F136+'račun prihoda i rashoda-ekonom'!F149+'račun prihoda i rashoda-ekonom'!F150+'račun prihoda i rashoda-ekonom'!F153+'račun prihoda i rashoda-ekonom'!F158+'račun prihoda i rashoda-ekonom'!F165+'račun prihoda i rashoda-ekonom'!F168+'račun prihoda i rashoda-ekonom'!F174+'račun prihoda i rashoda-ekonom'!F179+'račun prihoda i rashoda-ekonom'!F182+'račun prihoda i rashoda-ekonom'!F185+'račun prihoda i rashoda-ekonom'!F186+'račun prihoda i rashoda-ekonom'!F190+'račun prihoda i rashoda-ekonom'!F191+'račun prihoda i rashoda-ekonom'!F197+'račun prihoda i rashoda-ekonom'!F200+'račun prihoda i rashoda-ekonom'!F205+'račun prihoda i rashoda-ekonom'!F208+'račun prihoda i rashoda-ekonom'!F212+'račun prihoda i rashoda-ekonom'!F216+'račun prihoda i rashoda-ekonom'!F221+'račun prihoda i rashoda-ekonom'!F222+'račun prihoda i rashoda-ekonom'!F230+'račun prihoda i rashoda-ekonom'!F233+'račun prihoda i rashoda-ekonom'!F248+'račun prihoda i rashoda-ekonom'!F249+'račun prihoda i rashoda-ekonom'!F261+'račun prihoda i rashoda-ekonom'!F266+'račun prihoda i rashoda-ekonom'!F275+'račun prihoda i rashoda-ekonom'!F282+'račun prihoda i rashoda-ekonom'!F288+'račun prihoda i rashoda-ekonom'!F289</f>
        <v>236759.91</v>
      </c>
      <c r="G247" s="405">
        <f>'račun prihoda i rashoda-ekonom'!G94+'račun prihoda i rashoda-ekonom'!G105+'račun prihoda i rashoda-ekonom'!G112+'račun prihoda i rashoda-ekonom'!G119+'račun prihoda i rashoda-ekonom'!G120+'račun prihoda i rashoda-ekonom'!G126+'račun prihoda i rashoda-ekonom'!G131+'račun prihoda i rashoda-ekonom'!G135+'račun prihoda i rashoda-ekonom'!G136+'račun prihoda i rashoda-ekonom'!G149+'račun prihoda i rashoda-ekonom'!G150+'račun prihoda i rashoda-ekonom'!G153+'račun prihoda i rashoda-ekonom'!G158+'račun prihoda i rashoda-ekonom'!G165+'račun prihoda i rashoda-ekonom'!G168+'račun prihoda i rashoda-ekonom'!G174+'račun prihoda i rashoda-ekonom'!G179+'račun prihoda i rashoda-ekonom'!G182+'račun prihoda i rashoda-ekonom'!G185+'račun prihoda i rashoda-ekonom'!G186+'račun prihoda i rashoda-ekonom'!G190+'račun prihoda i rashoda-ekonom'!G191+'račun prihoda i rashoda-ekonom'!G197+'račun prihoda i rashoda-ekonom'!G200+'račun prihoda i rashoda-ekonom'!G205+'račun prihoda i rashoda-ekonom'!G208+'račun prihoda i rashoda-ekonom'!G212+'račun prihoda i rashoda-ekonom'!G216+'račun prihoda i rashoda-ekonom'!G221+'račun prihoda i rashoda-ekonom'!G222+'račun prihoda i rashoda-ekonom'!G230+'račun prihoda i rashoda-ekonom'!G233+'račun prihoda i rashoda-ekonom'!G248+'račun prihoda i rashoda-ekonom'!G249+'račun prihoda i rashoda-ekonom'!G261+'račun prihoda i rashoda-ekonom'!G266+'račun prihoda i rashoda-ekonom'!G275+'račun prihoda i rashoda-ekonom'!G282+'račun prihoda i rashoda-ekonom'!G288+'račun prihoda i rashoda-ekonom'!G289</f>
        <v>62448.85</v>
      </c>
      <c r="H247" s="405">
        <f t="shared" ref="H247:H277" si="40">G247/E247*100</f>
        <v>41.095741218280516</v>
      </c>
      <c r="I247" s="421">
        <f t="shared" ref="I247:I277" si="41">G247/F247*100</f>
        <v>26.376446079912768</v>
      </c>
    </row>
    <row r="248" spans="1:10" s="279" customFormat="1" x14ac:dyDescent="0.3">
      <c r="A248" s="625" t="s">
        <v>293</v>
      </c>
      <c r="B248" s="626"/>
      <c r="C248" s="406" t="e">
        <f>SUM(C246-C247-C278)</f>
        <v>#REF!</v>
      </c>
      <c r="D248" s="406" t="e">
        <f>SUM(D246-D247-D278)</f>
        <v>#REF!</v>
      </c>
      <c r="E248" s="407">
        <f t="shared" ref="E248" si="42">E246-E247</f>
        <v>-14784.179999999993</v>
      </c>
      <c r="F248" s="407">
        <f t="shared" ref="F248:G248" si="43">F246-F247</f>
        <v>0</v>
      </c>
      <c r="G248" s="407">
        <f t="shared" si="43"/>
        <v>6837.7800000000061</v>
      </c>
      <c r="H248" s="405"/>
      <c r="I248" s="421"/>
      <c r="J248" s="283"/>
    </row>
    <row r="249" spans="1:10" s="304" customFormat="1" x14ac:dyDescent="0.3">
      <c r="A249" s="419" t="s">
        <v>281</v>
      </c>
      <c r="B249" s="402" t="s">
        <v>264</v>
      </c>
      <c r="C249" s="408"/>
      <c r="D249" s="408"/>
      <c r="E249" s="409"/>
      <c r="F249" s="409"/>
      <c r="G249" s="409"/>
      <c r="H249" s="405"/>
      <c r="I249" s="421"/>
      <c r="J249" s="397"/>
    </row>
    <row r="250" spans="1:10" x14ac:dyDescent="0.3">
      <c r="A250" s="420"/>
      <c r="B250" s="403" t="s">
        <v>279</v>
      </c>
      <c r="C250" s="404" t="e">
        <f>SUM('[1]RAČUN PRIHODA I RASHODA'!#REF!)</f>
        <v>#REF!</v>
      </c>
      <c r="D250" s="404" t="e">
        <f>SUM('[1]RAČUN PRIHODA I RASHODA'!#REF!)</f>
        <v>#REF!</v>
      </c>
      <c r="E250" s="405">
        <f>'račun prihoda i rashoda-ekonom'!E38+'račun prihoda i rashoda-ekonom'!E46+'račun prihoda i rashoda-ekonom'!E48+'račun prihoda i rashoda-ekonom'!E68</f>
        <v>5566.83</v>
      </c>
      <c r="F250" s="405">
        <f>'račun prihoda i rashoda-ekonom'!F38+'račun prihoda i rashoda-ekonom'!F46+'račun prihoda i rashoda-ekonom'!F48+'račun prihoda i rashoda-ekonom'!F68</f>
        <v>7000</v>
      </c>
      <c r="G250" s="405">
        <f>'račun prihoda i rashoda-ekonom'!G38+'račun prihoda i rashoda-ekonom'!G46+'račun prihoda i rashoda-ekonom'!G48+'račun prihoda i rashoda-ekonom'!G68</f>
        <v>4580.4799999999996</v>
      </c>
      <c r="H250" s="405">
        <f t="shared" si="40"/>
        <v>82.281657604058324</v>
      </c>
      <c r="I250" s="421">
        <f t="shared" si="41"/>
        <v>65.43542857142856</v>
      </c>
    </row>
    <row r="251" spans="1:10" x14ac:dyDescent="0.3">
      <c r="A251" s="420"/>
      <c r="B251" s="403" t="s">
        <v>280</v>
      </c>
      <c r="C251" s="404" t="e">
        <f>SUM('[1]RAČUN PRIHODA I RASHODA'!#REF!,'[1]RAČUN PRIHODA I RASHODA'!#REF!,'[1]RAČUN PRIHODA I RASHODA'!#REF!,'[1]RAČUN PRIHODA I RASHODA'!#REF!,'[1]RAČUN PRIHODA I RASHODA'!#REF!)</f>
        <v>#REF!</v>
      </c>
      <c r="D251" s="404" t="e">
        <f>SUM('[1]RAČUN PRIHODA I RASHODA'!#REF!,'[1]RAČUN PRIHODA I RASHODA'!#REF!,'[1]RAČUN PRIHODA I RASHODA'!#REF!,'[1]RAČUN PRIHODA I RASHODA'!#REF!,'[1]RAČUN PRIHODA I RASHODA'!#REF!)</f>
        <v>#REF!</v>
      </c>
      <c r="E251" s="405">
        <f>'račun prihoda i rashoda-ekonom'!E121+'račun prihoda i rashoda-ekonom'!E137+'račun prihoda i rashoda-ekonom'!E154+'račun prihoda i rashoda-ekonom'!E159+'račun prihoda i rashoda-ekonom'!E169+'račun prihoda i rashoda-ekonom'!E175+'račun prihoda i rashoda-ekonom'!E183+'račun prihoda i rashoda-ekonom'!E192+'račun prihoda i rashoda-ekonom'!E198+'račun prihoda i rashoda-ekonom'!E201+'račun prihoda i rashoda-ekonom'!E209+'račun prihoda i rashoda-ekonom'!E213+'račun prihoda i rashoda-ekonom'!E223+'račun prihoda i rashoda-ekonom'!E231+'račun prihoda i rashoda-ekonom'!E250+'račun prihoda i rashoda-ekonom'!E267+'račun prihoda i rashoda-ekonom'!E276+'račun prihoda i rashoda-ekonom'!E283+'račun prihoda i rashoda-ekonom'!E242+'račun prihoda i rashoda-ekonom'!E258</f>
        <v>2340.2399999999998</v>
      </c>
      <c r="F251" s="405">
        <f>'račun prihoda i rashoda-ekonom'!F121+'račun prihoda i rashoda-ekonom'!F137+'račun prihoda i rashoda-ekonom'!F154+'račun prihoda i rashoda-ekonom'!F159+'račun prihoda i rashoda-ekonom'!F169+'račun prihoda i rashoda-ekonom'!F175+'račun prihoda i rashoda-ekonom'!F183+'račun prihoda i rashoda-ekonom'!F192+'račun prihoda i rashoda-ekonom'!F198+'račun prihoda i rashoda-ekonom'!F201+'račun prihoda i rashoda-ekonom'!F209+'račun prihoda i rashoda-ekonom'!F213+'račun prihoda i rashoda-ekonom'!F223+'račun prihoda i rashoda-ekonom'!F231+'račun prihoda i rashoda-ekonom'!F250+'račun prihoda i rashoda-ekonom'!F267+'račun prihoda i rashoda-ekonom'!F276+'račun prihoda i rashoda-ekonom'!F283+'račun prihoda i rashoda-ekonom'!F242+'račun prihoda i rashoda-ekonom'!F258</f>
        <v>7000</v>
      </c>
      <c r="G251" s="405">
        <f>'račun prihoda i rashoda-ekonom'!G121+'račun prihoda i rashoda-ekonom'!G137+'račun prihoda i rashoda-ekonom'!G154+'račun prihoda i rashoda-ekonom'!G159+'račun prihoda i rashoda-ekonom'!G169+'račun prihoda i rashoda-ekonom'!G175+'račun prihoda i rashoda-ekonom'!G183+'račun prihoda i rashoda-ekonom'!G192+'račun prihoda i rashoda-ekonom'!G198+'račun prihoda i rashoda-ekonom'!G201+'račun prihoda i rashoda-ekonom'!G209+'račun prihoda i rashoda-ekonom'!G213+'račun prihoda i rashoda-ekonom'!G223+'račun prihoda i rashoda-ekonom'!G231+'račun prihoda i rashoda-ekonom'!G250+'račun prihoda i rashoda-ekonom'!G267+'račun prihoda i rashoda-ekonom'!G276+'račun prihoda i rashoda-ekonom'!G283+'račun prihoda i rashoda-ekonom'!G242+'račun prihoda i rashoda-ekonom'!G258</f>
        <v>1165.44</v>
      </c>
      <c r="H251" s="405">
        <f t="shared" si="40"/>
        <v>49.800020510716855</v>
      </c>
      <c r="I251" s="421">
        <f t="shared" si="41"/>
        <v>16.649142857142856</v>
      </c>
    </row>
    <row r="252" spans="1:10" x14ac:dyDescent="0.3">
      <c r="A252" s="625" t="s">
        <v>293</v>
      </c>
      <c r="B252" s="626"/>
      <c r="C252" s="406" t="e">
        <f>SUM(C250-C251)</f>
        <v>#REF!</v>
      </c>
      <c r="D252" s="406" t="e">
        <f>SUM(D250-D251)</f>
        <v>#REF!</v>
      </c>
      <c r="E252" s="407">
        <f t="shared" ref="E252" si="44">SUM(E250-E251)</f>
        <v>3226.59</v>
      </c>
      <c r="F252" s="407">
        <f t="shared" ref="F252:G252" si="45">SUM(F250-F251)</f>
        <v>0</v>
      </c>
      <c r="G252" s="407">
        <f t="shared" si="45"/>
        <v>3415.0399999999995</v>
      </c>
      <c r="H252" s="405"/>
      <c r="I252" s="421"/>
    </row>
    <row r="253" spans="1:10" s="304" customFormat="1" x14ac:dyDescent="0.3">
      <c r="A253" s="419" t="s">
        <v>283</v>
      </c>
      <c r="B253" s="402" t="s">
        <v>284</v>
      </c>
      <c r="C253" s="410"/>
      <c r="D253" s="410"/>
      <c r="E253" s="411"/>
      <c r="F253" s="411"/>
      <c r="G253" s="411"/>
      <c r="H253" s="405"/>
      <c r="I253" s="421"/>
      <c r="J253" s="397"/>
    </row>
    <row r="254" spans="1:10" x14ac:dyDescent="0.3">
      <c r="A254" s="420"/>
      <c r="B254" s="403" t="s">
        <v>279</v>
      </c>
      <c r="C254" s="404" t="e">
        <f>SUM('[1]RAČUN PRIHODA I RASHODA'!#REF!)</f>
        <v>#REF!</v>
      </c>
      <c r="D254" s="404" t="e">
        <f>SUM('[1]RAČUN PRIHODA I RASHODA'!#REF!)</f>
        <v>#REF!</v>
      </c>
      <c r="E254" s="405">
        <f>'račun prihoda i rashoda-ekonom'!E42</f>
        <v>6131</v>
      </c>
      <c r="F254" s="405">
        <f>'račun prihoda i rashoda-ekonom'!F42</f>
        <v>9500</v>
      </c>
      <c r="G254" s="405">
        <f>'račun prihoda i rashoda-ekonom'!G42</f>
        <v>5668.94</v>
      </c>
      <c r="H254" s="405">
        <f t="shared" si="40"/>
        <v>92.463545914206478</v>
      </c>
      <c r="I254" s="421">
        <f t="shared" si="41"/>
        <v>59.67305263157894</v>
      </c>
    </row>
    <row r="255" spans="1:10" x14ac:dyDescent="0.3">
      <c r="A255" s="420"/>
      <c r="B255" s="403" t="s">
        <v>280</v>
      </c>
      <c r="C255" s="404" t="e">
        <f>SUM('[1]RAČUN PRIHODA I RASHODA'!#REF!,'[1]RAČUN PRIHODA I RASHODA'!#REF!,'[1]RAČUN PRIHODA I RASHODA'!#REF!,'[1]RAČUN PRIHODA I RASHODA'!#REF!)</f>
        <v>#REF!</v>
      </c>
      <c r="D255" s="404" t="e">
        <f>SUM('[1]RAČUN PRIHODA I RASHODA'!#REF!,'[1]RAČUN PRIHODA I RASHODA'!#REF!,'[1]RAČUN PRIHODA I RASHODA'!#REF!,'[1]RAČUN PRIHODA I RASHODA'!#REF!)</f>
        <v>#REF!</v>
      </c>
      <c r="E255" s="405">
        <f>'račun prihoda i rashoda-ekonom'!E138+'račun prihoda i rashoda-ekonom'!E143+'račun prihoda i rashoda-ekonom'!E160+'račun prihoda i rashoda-ekonom'!E251+'račun prihoda i rashoda-ekonom'!E262+'račun prihoda i rashoda-ekonom'!E268</f>
        <v>7111.39</v>
      </c>
      <c r="F255" s="405">
        <f>'račun prihoda i rashoda-ekonom'!F138+'račun prihoda i rashoda-ekonom'!F143+'račun prihoda i rashoda-ekonom'!F160+'račun prihoda i rashoda-ekonom'!F251+'račun prihoda i rashoda-ekonom'!F262+'račun prihoda i rashoda-ekonom'!F268</f>
        <v>9000</v>
      </c>
      <c r="G255" s="405">
        <f>'račun prihoda i rashoda-ekonom'!G138+'račun prihoda i rashoda-ekonom'!G143+'račun prihoda i rashoda-ekonom'!G160+'račun prihoda i rashoda-ekonom'!G251+'račun prihoda i rashoda-ekonom'!G262+'račun prihoda i rashoda-ekonom'!G268</f>
        <v>3842.13</v>
      </c>
      <c r="H255" s="405">
        <f t="shared" si="40"/>
        <v>54.027834220876649</v>
      </c>
      <c r="I255" s="421">
        <f t="shared" si="41"/>
        <v>42.690333333333335</v>
      </c>
    </row>
    <row r="256" spans="1:10" x14ac:dyDescent="0.3">
      <c r="A256" s="625" t="s">
        <v>285</v>
      </c>
      <c r="B256" s="626"/>
      <c r="C256" s="406" t="e">
        <f>SUM(C254-C255)</f>
        <v>#REF!</v>
      </c>
      <c r="D256" s="406" t="e">
        <f>SUM(D254-D255)</f>
        <v>#REF!</v>
      </c>
      <c r="E256" s="407">
        <f t="shared" ref="E256:G256" si="46">SUM(E254-E255)</f>
        <v>-980.39000000000033</v>
      </c>
      <c r="F256" s="407">
        <f t="shared" si="46"/>
        <v>500</v>
      </c>
      <c r="G256" s="407">
        <f t="shared" si="46"/>
        <v>1826.8099999999995</v>
      </c>
      <c r="H256" s="405"/>
      <c r="I256" s="421"/>
    </row>
    <row r="257" spans="1:10" s="304" customFormat="1" x14ac:dyDescent="0.3">
      <c r="A257" s="419" t="s">
        <v>286</v>
      </c>
      <c r="B257" s="402" t="s">
        <v>196</v>
      </c>
      <c r="C257" s="410"/>
      <c r="D257" s="410"/>
      <c r="E257" s="411"/>
      <c r="F257" s="411"/>
      <c r="G257" s="411"/>
      <c r="H257" s="405"/>
      <c r="I257" s="421"/>
      <c r="J257" s="397"/>
    </row>
    <row r="258" spans="1:10" x14ac:dyDescent="0.3">
      <c r="A258" s="420"/>
      <c r="B258" s="403" t="s">
        <v>279</v>
      </c>
      <c r="C258" s="404" t="e">
        <f>SUM('[1]RAČUN PRIHODA I RASHODA'!#REF!)</f>
        <v>#REF!</v>
      </c>
      <c r="D258" s="404" t="e">
        <f>SUM('[1]RAČUN PRIHODA I RASHODA'!#REF!)</f>
        <v>#REF!</v>
      </c>
      <c r="E258" s="405">
        <f>'račun prihoda i rashoda-ekonom'!E27+'račun prihoda i rashoda-ekonom'!E28+'račun prihoda i rashoda-ekonom'!E30+'račun prihoda i rashoda-ekonom'!E31+'račun prihoda i rashoda-ekonom'!E59+'račun prihoda i rashoda-ekonom'!E60+'račun prihoda i rashoda-ekonom'!E61</f>
        <v>1426098.6300000001</v>
      </c>
      <c r="F258" s="405">
        <f>'račun prihoda i rashoda-ekonom'!F27+'račun prihoda i rashoda-ekonom'!F28+'račun prihoda i rashoda-ekonom'!F30+'račun prihoda i rashoda-ekonom'!F31+'račun prihoda i rashoda-ekonom'!F59+'račun prihoda i rashoda-ekonom'!F60+'račun prihoda i rashoda-ekonom'!F61</f>
        <v>1449420</v>
      </c>
      <c r="G258" s="405">
        <f>'račun prihoda i rashoda-ekonom'!G27+'račun prihoda i rashoda-ekonom'!G28+'račun prihoda i rashoda-ekonom'!G30+'račun prihoda i rashoda-ekonom'!G31+'račun prihoda i rashoda-ekonom'!G59+'račun prihoda i rashoda-ekonom'!G60+'račun prihoda i rashoda-ekonom'!G61</f>
        <v>731987.2</v>
      </c>
      <c r="H258" s="405">
        <f t="shared" si="40"/>
        <v>51.327950578004547</v>
      </c>
      <c r="I258" s="421">
        <f t="shared" si="41"/>
        <v>50.502076692746058</v>
      </c>
    </row>
    <row r="259" spans="1:10" x14ac:dyDescent="0.3">
      <c r="A259" s="420"/>
      <c r="B259" s="403" t="s">
        <v>280</v>
      </c>
      <c r="C259" s="404" t="e">
        <f>SUM('[1]RAČUN PRIHODA I RASHODA'!#REF!,'[1]RAČUN PRIHODA I RASHODA'!#REF!,'[1]RAČUN PRIHODA I RASHODA'!#REF!,'[1]RAČUN PRIHODA I RASHODA'!#REF!)</f>
        <v>#REF!</v>
      </c>
      <c r="D259" s="404" t="e">
        <f>SUM('[1]RAČUN PRIHODA I RASHODA'!#REF!,'[1]RAČUN PRIHODA I RASHODA'!#REF!,'[1]RAČUN PRIHODA I RASHODA'!#REF!,'[1]RAČUN PRIHODA I RASHODA'!#REF!)</f>
        <v>#REF!</v>
      </c>
      <c r="E259" s="405">
        <f>'račun prihoda i rashoda-ekonom'!E95+'račun prihoda i rashoda-ekonom'!E96+'račun prihoda i rashoda-ekonom'!E97+'račun prihoda i rashoda-ekonom'!E98+'račun prihoda i rashoda-ekonom'!E100+'račun prihoda i rashoda-ekonom'!E102+'račun prihoda i rashoda-ekonom'!E106+'račun prihoda i rashoda-ekonom'!E107+'račun prihoda i rashoda-ekonom'!E108+'račun prihoda i rashoda-ekonom'!E113+'račun prihoda i rashoda-ekonom'!E114+'račun prihoda i rashoda-ekonom'!E115+'račun prihoda i rashoda-ekonom'!E122+'račun prihoda i rashoda-ekonom'!E123+'račun prihoda i rashoda-ekonom'!E127+'račun prihoda i rashoda-ekonom'!E128+'račun prihoda i rashoda-ekonom'!E129+'račun prihoda i rashoda-ekonom'!E139+'račun prihoda i rashoda-ekonom'!E140+'račun prihoda i rashoda-ekonom'!E144+'račun prihoda i rashoda-ekonom'!E145+'račun prihoda i rashoda-ekonom'!E146+'račun prihoda i rashoda-ekonom'!E155+'račun prihoda i rashoda-ekonom'!E161+'račun prihoda i rashoda-ekonom'!E162+'račun prihoda i rashoda-ekonom'!E170+'račun prihoda i rashoda-ekonom'!E171+'račun prihoda i rashoda-ekonom'!E176+'račun prihoda i rashoda-ekonom'!E180+'račun prihoda i rashoda-ekonom'!E187+'račun prihoda i rashoda-ekonom'!E188+'račun prihoda i rashoda-ekonom'!E193+'račun prihoda i rashoda-ekonom'!E194+'račun prihoda i rashoda-ekonom'!E202+'račun prihoda i rashoda-ekonom'!E217+'račun prihoda i rashoda-ekonom'!E219+'račun prihoda i rashoda-ekonom'!E224+'račun prihoda i rashoda-ekonom'!E225+'račun prihoda i rashoda-ekonom'!E234+'račun prihoda i rashoda-ekonom'!E238+'račun prihoda i rashoda-ekonom'!E243+'račun prihoda i rashoda-ekonom'!E252+'račun prihoda i rashoda-ekonom'!E259+'račun prihoda i rashoda-ekonom'!E263+'račun prihoda i rashoda-ekonom'!E269+'račun prihoda i rashoda-ekonom'!E270+'račun prihoda i rashoda-ekonom'!E277+'račun prihoda i rashoda-ekonom'!E278+'račun prihoda i rashoda-ekonom'!E284+'račun prihoda i rashoda-ekonom'!E132</f>
        <v>1544146.0400000005</v>
      </c>
      <c r="F259" s="405">
        <f>'račun prihoda i rashoda-ekonom'!F95+'račun prihoda i rashoda-ekonom'!F96+'račun prihoda i rashoda-ekonom'!F97+'račun prihoda i rashoda-ekonom'!F98+'račun prihoda i rashoda-ekonom'!F100+'račun prihoda i rashoda-ekonom'!F102+'račun prihoda i rashoda-ekonom'!F106+'račun prihoda i rashoda-ekonom'!F107+'račun prihoda i rashoda-ekonom'!F108+'račun prihoda i rashoda-ekonom'!F113+'račun prihoda i rashoda-ekonom'!F114+'račun prihoda i rashoda-ekonom'!F115+'račun prihoda i rashoda-ekonom'!F122+'račun prihoda i rashoda-ekonom'!F123+'račun prihoda i rashoda-ekonom'!F127+'račun prihoda i rashoda-ekonom'!F128+'račun prihoda i rashoda-ekonom'!F129+'račun prihoda i rashoda-ekonom'!F139+'račun prihoda i rashoda-ekonom'!F140+'račun prihoda i rashoda-ekonom'!F144+'račun prihoda i rashoda-ekonom'!F145+'račun prihoda i rashoda-ekonom'!F146+'račun prihoda i rashoda-ekonom'!F155+'račun prihoda i rashoda-ekonom'!F161+'račun prihoda i rashoda-ekonom'!F162+'račun prihoda i rashoda-ekonom'!F170+'račun prihoda i rashoda-ekonom'!F171+'račun prihoda i rashoda-ekonom'!F176+'račun prihoda i rashoda-ekonom'!F180+'račun prihoda i rashoda-ekonom'!F187+'račun prihoda i rashoda-ekonom'!F188+'račun prihoda i rashoda-ekonom'!F193+'račun prihoda i rashoda-ekonom'!F194+'račun prihoda i rashoda-ekonom'!F202+'račun prihoda i rashoda-ekonom'!F217+'račun prihoda i rashoda-ekonom'!F219+'račun prihoda i rashoda-ekonom'!F224+'račun prihoda i rashoda-ekonom'!F225+'račun prihoda i rashoda-ekonom'!F234+'račun prihoda i rashoda-ekonom'!F238+'račun prihoda i rashoda-ekonom'!F243+'račun prihoda i rashoda-ekonom'!F252+'račun prihoda i rashoda-ekonom'!F259+'račun prihoda i rashoda-ekonom'!F263+'račun prihoda i rashoda-ekonom'!F269+'račun prihoda i rashoda-ekonom'!F270+'račun prihoda i rashoda-ekonom'!F277+'račun prihoda i rashoda-ekonom'!F278+'račun prihoda i rashoda-ekonom'!F284+'račun prihoda i rashoda-ekonom'!F132</f>
        <v>1503420</v>
      </c>
      <c r="G259" s="405">
        <f>'račun prihoda i rashoda-ekonom'!G95+'račun prihoda i rashoda-ekonom'!G96+'račun prihoda i rashoda-ekonom'!G97+'račun prihoda i rashoda-ekonom'!G98+'račun prihoda i rashoda-ekonom'!G100+'račun prihoda i rashoda-ekonom'!G102+'račun prihoda i rashoda-ekonom'!G106+'račun prihoda i rashoda-ekonom'!G107+'račun prihoda i rashoda-ekonom'!G108+'račun prihoda i rashoda-ekonom'!G113+'račun prihoda i rashoda-ekonom'!G114+'račun prihoda i rashoda-ekonom'!G115+'račun prihoda i rashoda-ekonom'!G122+'račun prihoda i rashoda-ekonom'!G123+'račun prihoda i rashoda-ekonom'!G127+'račun prihoda i rashoda-ekonom'!G128+'račun prihoda i rashoda-ekonom'!G129+'račun prihoda i rashoda-ekonom'!G139+'račun prihoda i rashoda-ekonom'!G140+'račun prihoda i rashoda-ekonom'!G144+'račun prihoda i rashoda-ekonom'!G145+'račun prihoda i rashoda-ekonom'!G146+'račun prihoda i rashoda-ekonom'!G155+'račun prihoda i rashoda-ekonom'!G161+'račun prihoda i rashoda-ekonom'!G162+'račun prihoda i rashoda-ekonom'!G170+'račun prihoda i rashoda-ekonom'!G171+'račun prihoda i rashoda-ekonom'!G176+'račun prihoda i rashoda-ekonom'!G180+'račun prihoda i rashoda-ekonom'!G187+'račun prihoda i rashoda-ekonom'!G188+'račun prihoda i rashoda-ekonom'!G193+'račun prihoda i rashoda-ekonom'!G194+'račun prihoda i rashoda-ekonom'!G202+'račun prihoda i rashoda-ekonom'!G217+'račun prihoda i rashoda-ekonom'!G219+'račun prihoda i rashoda-ekonom'!G224+'račun prihoda i rashoda-ekonom'!G225+'račun prihoda i rashoda-ekonom'!G234+'račun prihoda i rashoda-ekonom'!G238+'račun prihoda i rashoda-ekonom'!G243+'račun prihoda i rashoda-ekonom'!G252+'račun prihoda i rashoda-ekonom'!G259+'račun prihoda i rashoda-ekonom'!G263+'račun prihoda i rashoda-ekonom'!G269+'račun prihoda i rashoda-ekonom'!G270+'račun prihoda i rashoda-ekonom'!G277+'račun prihoda i rashoda-ekonom'!G278+'račun prihoda i rashoda-ekonom'!G284+'račun prihoda i rashoda-ekonom'!G132</f>
        <v>765860.01</v>
      </c>
      <c r="H259" s="405">
        <f t="shared" si="40"/>
        <v>49.597641036595199</v>
      </c>
      <c r="I259" s="421">
        <f t="shared" si="41"/>
        <v>50.941188091152178</v>
      </c>
    </row>
    <row r="260" spans="1:10" x14ac:dyDescent="0.3">
      <c r="A260" s="625" t="s">
        <v>285</v>
      </c>
      <c r="B260" s="626"/>
      <c r="C260" s="412" t="e">
        <f>SUM(C258-C259)</f>
        <v>#REF!</v>
      </c>
      <c r="D260" s="412" t="e">
        <f>SUM(D258-D259)</f>
        <v>#REF!</v>
      </c>
      <c r="E260" s="413">
        <f t="shared" ref="E260:G260" si="47">SUM(E258-E259)</f>
        <v>-118047.41000000038</v>
      </c>
      <c r="F260" s="413">
        <f t="shared" si="47"/>
        <v>-54000</v>
      </c>
      <c r="G260" s="413">
        <f t="shared" si="47"/>
        <v>-33872.810000000056</v>
      </c>
      <c r="H260" s="405"/>
      <c r="I260" s="421"/>
    </row>
    <row r="261" spans="1:10" s="304" customFormat="1" x14ac:dyDescent="0.3">
      <c r="A261" s="419" t="s">
        <v>287</v>
      </c>
      <c r="B261" s="402" t="s">
        <v>266</v>
      </c>
      <c r="C261" s="410"/>
      <c r="D261" s="410"/>
      <c r="E261" s="411"/>
      <c r="F261" s="411"/>
      <c r="G261" s="411"/>
      <c r="H261" s="405"/>
      <c r="I261" s="421"/>
      <c r="J261" s="397"/>
    </row>
    <row r="262" spans="1:10" x14ac:dyDescent="0.3">
      <c r="A262" s="420"/>
      <c r="B262" s="403" t="s">
        <v>279</v>
      </c>
      <c r="C262" s="404" t="e">
        <f>SUM('[1]RAČUN PRIHODA I RASHODA'!#REF!)</f>
        <v>#REF!</v>
      </c>
      <c r="D262" s="404" t="e">
        <f>SUM('[1]RAČUN PRIHODA I RASHODA'!#REF!)</f>
        <v>#REF!</v>
      </c>
      <c r="E262" s="405">
        <f>'račun prihoda i rashoda-ekonom'!E51+'račun prihoda i rashoda-ekonom'!E53</f>
        <v>700</v>
      </c>
      <c r="F262" s="405">
        <f>'račun prihoda i rashoda-ekonom'!F51+'račun prihoda i rashoda-ekonom'!F53</f>
        <v>600</v>
      </c>
      <c r="G262" s="405">
        <f>'račun prihoda i rashoda-ekonom'!G51+'račun prihoda i rashoda-ekonom'!G53</f>
        <v>26.58</v>
      </c>
      <c r="H262" s="405">
        <f t="shared" si="40"/>
        <v>3.7971428571428567</v>
      </c>
      <c r="I262" s="421">
        <f t="shared" si="41"/>
        <v>4.43</v>
      </c>
    </row>
    <row r="263" spans="1:10" x14ac:dyDescent="0.3">
      <c r="A263" s="420"/>
      <c r="B263" s="403" t="s">
        <v>280</v>
      </c>
      <c r="C263" s="404" t="e">
        <f>SUM('[1]RAČUN PRIHODA I RASHODA'!#REF!,'[1]RAČUN PRIHODA I RASHODA'!#REF!)</f>
        <v>#REF!</v>
      </c>
      <c r="D263" s="404" t="e">
        <f>SUM('[1]RAČUN PRIHODA I RASHODA'!#REF!,'[1]RAČUN PRIHODA I RASHODA'!#REF!)</f>
        <v>#REF!</v>
      </c>
      <c r="E263" s="405">
        <f>'račun prihoda i rashoda-ekonom'!E109+'račun prihoda i rashoda-ekonom'!E124+'račun prihoda i rashoda-ekonom'!E141+'račun prihoda i rashoda-ekonom'!E156+'račun prihoda i rashoda-ekonom'!E163+'račun prihoda i rashoda-ekonom'!E195+'račun prihoda i rashoda-ekonom'!E214+'račun prihoda i rashoda-ekonom'!E226+'račun prihoda i rashoda-ekonom'!E253+'račun prihoda i rashoda-ekonom'!E254+'račun prihoda i rashoda-ekonom'!E271+'račun prihoda i rashoda-ekonom'!E272+'račun prihoda i rashoda-ekonom'!E279</f>
        <v>2643.98</v>
      </c>
      <c r="F263" s="405">
        <f>'račun prihoda i rashoda-ekonom'!F109+'račun prihoda i rashoda-ekonom'!F124+'račun prihoda i rashoda-ekonom'!F141+'račun prihoda i rashoda-ekonom'!F156+'račun prihoda i rashoda-ekonom'!F163+'račun prihoda i rashoda-ekonom'!F195+'račun prihoda i rashoda-ekonom'!F214+'račun prihoda i rashoda-ekonom'!F226+'račun prihoda i rashoda-ekonom'!F253+'račun prihoda i rashoda-ekonom'!F254+'račun prihoda i rashoda-ekonom'!F271+'račun prihoda i rashoda-ekonom'!F272+'račun prihoda i rashoda-ekonom'!F279</f>
        <v>600</v>
      </c>
      <c r="G263" s="405">
        <f>'račun prihoda i rashoda-ekonom'!G109+'račun prihoda i rashoda-ekonom'!G124+'račun prihoda i rashoda-ekonom'!G141+'račun prihoda i rashoda-ekonom'!G156+'račun prihoda i rashoda-ekonom'!G163+'račun prihoda i rashoda-ekonom'!G195+'račun prihoda i rashoda-ekonom'!G214+'račun prihoda i rashoda-ekonom'!G226+'račun prihoda i rashoda-ekonom'!G253+'račun prihoda i rashoda-ekonom'!G254+'račun prihoda i rashoda-ekonom'!G271+'račun prihoda i rashoda-ekonom'!G272+'račun prihoda i rashoda-ekonom'!G279</f>
        <v>0</v>
      </c>
      <c r="H263" s="405">
        <f t="shared" si="40"/>
        <v>0</v>
      </c>
      <c r="I263" s="421">
        <f t="shared" si="41"/>
        <v>0</v>
      </c>
    </row>
    <row r="264" spans="1:10" x14ac:dyDescent="0.3">
      <c r="A264" s="625" t="s">
        <v>288</v>
      </c>
      <c r="B264" s="626"/>
      <c r="C264" s="412" t="e">
        <f>SUM(C262-C263)</f>
        <v>#REF!</v>
      </c>
      <c r="D264" s="412" t="e">
        <f>SUM(D262-D263)</f>
        <v>#REF!</v>
      </c>
      <c r="E264" s="413">
        <f t="shared" ref="E264:G264" si="48">SUM(E262-E263)</f>
        <v>-1943.98</v>
      </c>
      <c r="F264" s="413">
        <f t="shared" si="48"/>
        <v>0</v>
      </c>
      <c r="G264" s="413">
        <f t="shared" si="48"/>
        <v>26.58</v>
      </c>
      <c r="H264" s="405"/>
      <c r="I264" s="421"/>
    </row>
    <row r="265" spans="1:10" ht="31.2" customHeight="1" x14ac:dyDescent="0.3">
      <c r="A265" s="419" t="s">
        <v>289</v>
      </c>
      <c r="B265" s="414" t="s">
        <v>247</v>
      </c>
      <c r="C265" s="412"/>
      <c r="D265" s="412"/>
      <c r="E265" s="413"/>
      <c r="F265" s="413"/>
      <c r="G265" s="413"/>
      <c r="H265" s="405"/>
      <c r="I265" s="421"/>
    </row>
    <row r="266" spans="1:10" ht="15.6" customHeight="1" x14ac:dyDescent="0.3">
      <c r="A266" s="420"/>
      <c r="B266" s="403" t="s">
        <v>279</v>
      </c>
      <c r="C266" s="404" t="e">
        <f>SUM('[1]RAČUN PRIHODA I RASHODA'!#REF!)</f>
        <v>#REF!</v>
      </c>
      <c r="D266" s="404" t="e">
        <f>SUM('[1]RAČUN PRIHODA I RASHODA'!#REF!)</f>
        <v>#REF!</v>
      </c>
      <c r="E266" s="405">
        <f>'račun prihoda i rashoda-ekonom'!E73</f>
        <v>0</v>
      </c>
      <c r="F266" s="405">
        <f>'račun prihoda i rashoda-ekonom'!F73</f>
        <v>0</v>
      </c>
      <c r="G266" s="405">
        <f>'račun prihoda i rashoda-ekonom'!G73</f>
        <v>0</v>
      </c>
      <c r="H266" s="405" t="e">
        <f t="shared" si="40"/>
        <v>#DIV/0!</v>
      </c>
      <c r="I266" s="421" t="e">
        <f t="shared" si="41"/>
        <v>#DIV/0!</v>
      </c>
    </row>
    <row r="267" spans="1:10" ht="15.6" customHeight="1" x14ac:dyDescent="0.3">
      <c r="A267" s="420"/>
      <c r="B267" s="403" t="s">
        <v>280</v>
      </c>
      <c r="C267" s="404" t="e">
        <f>SUM('[1]RAČUN PRIHODA I RASHODA'!#REF!)</f>
        <v>#REF!</v>
      </c>
      <c r="D267" s="404" t="e">
        <f>SUM('[1]RAČUN PRIHODA I RASHODA'!#REF!)</f>
        <v>#REF!</v>
      </c>
      <c r="E267" s="405">
        <f>'račun prihoda i rashoda-ekonom'!E177+'račun prihoda i rashoda-ekonom'!E255</f>
        <v>0</v>
      </c>
      <c r="F267" s="405">
        <f>'račun prihoda i rashoda-ekonom'!F177+'račun prihoda i rashoda-ekonom'!F255</f>
        <v>500</v>
      </c>
      <c r="G267" s="405">
        <f>'račun prihoda i rashoda-ekonom'!G177+'račun prihoda i rashoda-ekonom'!G255</f>
        <v>0</v>
      </c>
      <c r="H267" s="405" t="e">
        <f t="shared" si="40"/>
        <v>#DIV/0!</v>
      </c>
      <c r="I267" s="421">
        <f t="shared" si="41"/>
        <v>0</v>
      </c>
    </row>
    <row r="268" spans="1:10" x14ac:dyDescent="0.3">
      <c r="A268" s="625" t="s">
        <v>285</v>
      </c>
      <c r="B268" s="626"/>
      <c r="C268" s="412" t="e">
        <f>SUM(C266-C267)</f>
        <v>#REF!</v>
      </c>
      <c r="D268" s="412" t="e">
        <f>SUM(D266-D267)</f>
        <v>#REF!</v>
      </c>
      <c r="E268" s="413">
        <f t="shared" ref="E268:G268" si="49">SUM(E266-E267)</f>
        <v>0</v>
      </c>
      <c r="F268" s="413">
        <f t="shared" si="49"/>
        <v>-500</v>
      </c>
      <c r="G268" s="413">
        <f t="shared" si="49"/>
        <v>0</v>
      </c>
      <c r="H268" s="405"/>
      <c r="I268" s="421"/>
    </row>
    <row r="269" spans="1:10" x14ac:dyDescent="0.3">
      <c r="A269" s="621"/>
      <c r="B269" s="622"/>
      <c r="C269" s="412"/>
      <c r="D269" s="412"/>
      <c r="E269" s="413"/>
      <c r="F269" s="413"/>
      <c r="G269" s="413"/>
      <c r="H269" s="405"/>
      <c r="I269" s="421"/>
    </row>
    <row r="270" spans="1:10" x14ac:dyDescent="0.3">
      <c r="A270" s="621" t="s">
        <v>290</v>
      </c>
      <c r="B270" s="622"/>
      <c r="C270" s="412" t="e">
        <f>SUM(C246,C250,C254,C258,C262,C266,#REF!)</f>
        <v>#REF!</v>
      </c>
      <c r="D270" s="412" t="e">
        <f>SUM(D246,D250,D254,D258,D262,D266,#REF!)</f>
        <v>#REF!</v>
      </c>
      <c r="E270" s="413">
        <f t="shared" ref="E270" si="50">E246+E250+E254+E258+E262+E266</f>
        <v>1575671.7000000002</v>
      </c>
      <c r="F270" s="413">
        <f>F246+F250+F254+F258+F262+F266</f>
        <v>1703279.91</v>
      </c>
      <c r="G270" s="413">
        <f t="shared" ref="G270:G271" si="51">G246+G250+G254+G258+G262+G266</f>
        <v>811549.83</v>
      </c>
      <c r="H270" s="405">
        <f t="shared" si="40"/>
        <v>51.505007673870132</v>
      </c>
      <c r="I270" s="421">
        <f t="shared" si="41"/>
        <v>47.646298487721843</v>
      </c>
    </row>
    <row r="271" spans="1:10" x14ac:dyDescent="0.3">
      <c r="A271" s="621" t="s">
        <v>291</v>
      </c>
      <c r="B271" s="622"/>
      <c r="C271" s="412" t="e">
        <f>SUM(C247,C251,C255,C259,C263,C267,#REF!)</f>
        <v>#REF!</v>
      </c>
      <c r="D271" s="412" t="e">
        <f>SUM(D247,D251,D255,D259,D263,D267,#REF!)</f>
        <v>#REF!</v>
      </c>
      <c r="E271" s="413">
        <f t="shared" ref="E271" si="52">E247+E251+E255+E259+E263+E267</f>
        <v>1708201.0700000005</v>
      </c>
      <c r="F271" s="413">
        <f>F247+F251+F255+F259+F263+F267</f>
        <v>1757279.91</v>
      </c>
      <c r="G271" s="413">
        <f t="shared" si="51"/>
        <v>833316.43</v>
      </c>
      <c r="H271" s="405">
        <f t="shared" si="40"/>
        <v>48.783275261617753</v>
      </c>
      <c r="I271" s="421">
        <f t="shared" si="41"/>
        <v>47.420813568624936</v>
      </c>
    </row>
    <row r="272" spans="1:10" x14ac:dyDescent="0.3">
      <c r="A272" s="621"/>
      <c r="B272" s="622"/>
      <c r="C272" s="412"/>
      <c r="D272" s="412"/>
      <c r="E272" s="413"/>
      <c r="F272" s="413"/>
      <c r="G272" s="413"/>
      <c r="H272" s="405"/>
      <c r="I272" s="421"/>
    </row>
    <row r="273" spans="1:9" x14ac:dyDescent="0.3">
      <c r="A273" s="621"/>
      <c r="B273" s="622"/>
      <c r="C273" s="406"/>
      <c r="D273" s="406"/>
      <c r="E273" s="407"/>
      <c r="F273" s="407"/>
      <c r="G273" s="407"/>
      <c r="H273" s="405"/>
      <c r="I273" s="421"/>
    </row>
    <row r="274" spans="1:9" x14ac:dyDescent="0.3">
      <c r="A274" s="621" t="s">
        <v>282</v>
      </c>
      <c r="B274" s="622"/>
      <c r="C274" s="406" t="e">
        <f>-SUM(C252,C256)</f>
        <v>#REF!</v>
      </c>
      <c r="D274" s="406" t="e">
        <f>-SUM(D252,D256)</f>
        <v>#REF!</v>
      </c>
      <c r="E274" s="407">
        <f>'račun prihoda i rashoda-ekonom'!E74</f>
        <v>0</v>
      </c>
      <c r="F274" s="407">
        <f>'račun prihoda i rashoda-ekonom'!F74</f>
        <v>0</v>
      </c>
      <c r="G274" s="407">
        <f>'račun prihoda i rashoda-ekonom'!G74</f>
        <v>0</v>
      </c>
      <c r="H274" s="405" t="e">
        <f t="shared" si="40"/>
        <v>#DIV/0!</v>
      </c>
      <c r="I274" s="421" t="e">
        <f t="shared" si="41"/>
        <v>#DIV/0!</v>
      </c>
    </row>
    <row r="275" spans="1:9" x14ac:dyDescent="0.3">
      <c r="A275" s="621" t="s">
        <v>292</v>
      </c>
      <c r="B275" s="622"/>
      <c r="C275" s="412" t="e">
        <f>-SUM(C248)</f>
        <v>#REF!</v>
      </c>
      <c r="D275" s="412" t="e">
        <f>-SUM(D248)</f>
        <v>#REF!</v>
      </c>
      <c r="E275" s="413">
        <f>'račun prihoda i rashoda-ekonom'!E290</f>
        <v>0</v>
      </c>
      <c r="F275" s="413">
        <f>'račun prihoda i rashoda-ekonom'!F290</f>
        <v>0</v>
      </c>
      <c r="G275" s="413">
        <f>'račun prihoda i rashoda-ekonom'!G290</f>
        <v>0</v>
      </c>
      <c r="H275" s="405"/>
      <c r="I275" s="421"/>
    </row>
    <row r="276" spans="1:9" x14ac:dyDescent="0.3">
      <c r="A276" s="621"/>
      <c r="B276" s="622"/>
      <c r="C276" s="415"/>
      <c r="D276" s="415"/>
      <c r="E276" s="416"/>
      <c r="F276" s="416"/>
      <c r="G276" s="416"/>
      <c r="H276" s="405"/>
      <c r="I276" s="421"/>
    </row>
    <row r="277" spans="1:9" x14ac:dyDescent="0.3">
      <c r="A277" s="621" t="s">
        <v>294</v>
      </c>
      <c r="B277" s="622"/>
      <c r="C277" s="417" t="e">
        <f>SUM(#REF!)</f>
        <v>#REF!</v>
      </c>
      <c r="D277" s="417" t="e">
        <f>SUM(#REF!)</f>
        <v>#REF!</v>
      </c>
      <c r="E277" s="418">
        <f>E270+E274-E271-E275</f>
        <v>-132529.37000000034</v>
      </c>
      <c r="F277" s="418">
        <f>F270+F274-F271-F275</f>
        <v>-54000</v>
      </c>
      <c r="G277" s="418">
        <f t="shared" ref="G277" si="53">G270+G274-G271-G275</f>
        <v>-21766.600000000093</v>
      </c>
      <c r="H277" s="405">
        <f t="shared" si="40"/>
        <v>16.423982095440458</v>
      </c>
      <c r="I277" s="421">
        <f t="shared" si="41"/>
        <v>40.308518518518696</v>
      </c>
    </row>
    <row r="278" spans="1:9" ht="16.2" thickBot="1" x14ac:dyDescent="0.35">
      <c r="A278" s="623"/>
      <c r="B278" s="624"/>
      <c r="C278" s="422" t="e">
        <f>SUM(#REF!)</f>
        <v>#REF!</v>
      </c>
      <c r="D278" s="422" t="e">
        <f>SUM(#REF!)</f>
        <v>#REF!</v>
      </c>
      <c r="E278" s="423"/>
      <c r="F278" s="423"/>
      <c r="G278" s="423"/>
      <c r="H278" s="423"/>
      <c r="I278" s="424"/>
    </row>
  </sheetData>
  <mergeCells count="280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P31:P32"/>
    <mergeCell ref="A37:B37"/>
    <mergeCell ref="A40:A41"/>
    <mergeCell ref="B40:B41"/>
    <mergeCell ref="E40:E41"/>
    <mergeCell ref="F40:F41"/>
    <mergeCell ref="G40:G41"/>
    <mergeCell ref="H40:H41"/>
    <mergeCell ref="I40:I41"/>
    <mergeCell ref="J31:J32"/>
    <mergeCell ref="K31:K32"/>
    <mergeCell ref="L31:L32"/>
    <mergeCell ref="M31:M32"/>
    <mergeCell ref="N31:N32"/>
    <mergeCell ref="O31:O32"/>
    <mergeCell ref="H47:H48"/>
    <mergeCell ref="I47:I48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P61:P62"/>
    <mergeCell ref="A70:B70"/>
    <mergeCell ref="A73:A74"/>
    <mergeCell ref="B73:B74"/>
    <mergeCell ref="E73:E74"/>
    <mergeCell ref="F73:F74"/>
    <mergeCell ref="G73:G74"/>
    <mergeCell ref="J73:J74"/>
    <mergeCell ref="K73:K74"/>
    <mergeCell ref="L73:L74"/>
    <mergeCell ref="J61:J62"/>
    <mergeCell ref="K61:K62"/>
    <mergeCell ref="L61:L62"/>
    <mergeCell ref="M61:M62"/>
    <mergeCell ref="N61:N62"/>
    <mergeCell ref="O61:O62"/>
    <mergeCell ref="M73:M74"/>
    <mergeCell ref="N73:N74"/>
    <mergeCell ref="O73:O74"/>
    <mergeCell ref="P73:P74"/>
    <mergeCell ref="A84:B84"/>
    <mergeCell ref="A87:A88"/>
    <mergeCell ref="B87:B88"/>
    <mergeCell ref="E87:E88"/>
    <mergeCell ref="F87:F88"/>
    <mergeCell ref="G87:G88"/>
    <mergeCell ref="P106:P107"/>
    <mergeCell ref="A114:B114"/>
    <mergeCell ref="A119:B119"/>
    <mergeCell ref="H106:H107"/>
    <mergeCell ref="I106:I107"/>
    <mergeCell ref="P87:P88"/>
    <mergeCell ref="A103:B103"/>
    <mergeCell ref="A106:A107"/>
    <mergeCell ref="B106:B107"/>
    <mergeCell ref="E106:E107"/>
    <mergeCell ref="F106:F107"/>
    <mergeCell ref="G106:G107"/>
    <mergeCell ref="J106:J107"/>
    <mergeCell ref="K106:K107"/>
    <mergeCell ref="L106:L107"/>
    <mergeCell ref="J87:J88"/>
    <mergeCell ref="K87:K88"/>
    <mergeCell ref="L87:L88"/>
    <mergeCell ref="M87:M88"/>
    <mergeCell ref="N87:N88"/>
    <mergeCell ref="O87:O88"/>
    <mergeCell ref="A121:E121"/>
    <mergeCell ref="A122:A123"/>
    <mergeCell ref="B122:B123"/>
    <mergeCell ref="E122:E123"/>
    <mergeCell ref="F122:F123"/>
    <mergeCell ref="G122:G123"/>
    <mergeCell ref="M106:M107"/>
    <mergeCell ref="N106:N107"/>
    <mergeCell ref="O106:O107"/>
    <mergeCell ref="O133:O134"/>
    <mergeCell ref="P133:P134"/>
    <mergeCell ref="A146:B146"/>
    <mergeCell ref="P122:P123"/>
    <mergeCell ref="A130:B130"/>
    <mergeCell ref="A132:E132"/>
    <mergeCell ref="A133:A134"/>
    <mergeCell ref="B133:B134"/>
    <mergeCell ref="E133:E134"/>
    <mergeCell ref="F133:F134"/>
    <mergeCell ref="G133:G134"/>
    <mergeCell ref="J133:J134"/>
    <mergeCell ref="K133:K134"/>
    <mergeCell ref="J122:J123"/>
    <mergeCell ref="K122:K123"/>
    <mergeCell ref="L122:L123"/>
    <mergeCell ref="M122:M123"/>
    <mergeCell ref="N122:N123"/>
    <mergeCell ref="O122:O123"/>
    <mergeCell ref="A148:E148"/>
    <mergeCell ref="A149:A150"/>
    <mergeCell ref="B149:B150"/>
    <mergeCell ref="E149:E150"/>
    <mergeCell ref="F149:F150"/>
    <mergeCell ref="G149:G150"/>
    <mergeCell ref="L133:L134"/>
    <mergeCell ref="M133:M134"/>
    <mergeCell ref="N133:N134"/>
    <mergeCell ref="L162:L163"/>
    <mergeCell ref="M162:M163"/>
    <mergeCell ref="N162:N163"/>
    <mergeCell ref="O162:O163"/>
    <mergeCell ref="P162:P163"/>
    <mergeCell ref="A173:B173"/>
    <mergeCell ref="H162:H163"/>
    <mergeCell ref="I162:I163"/>
    <mergeCell ref="P149:P150"/>
    <mergeCell ref="A159:B159"/>
    <mergeCell ref="A161:E161"/>
    <mergeCell ref="A162:A163"/>
    <mergeCell ref="B162:B163"/>
    <mergeCell ref="E162:E163"/>
    <mergeCell ref="F162:F163"/>
    <mergeCell ref="G162:G163"/>
    <mergeCell ref="J162:J163"/>
    <mergeCell ref="K162:K163"/>
    <mergeCell ref="J149:J150"/>
    <mergeCell ref="K149:K150"/>
    <mergeCell ref="L149:L150"/>
    <mergeCell ref="M149:M150"/>
    <mergeCell ref="N149:N150"/>
    <mergeCell ref="O149:O150"/>
    <mergeCell ref="M177:M178"/>
    <mergeCell ref="N177:N178"/>
    <mergeCell ref="O177:O178"/>
    <mergeCell ref="P177:P178"/>
    <mergeCell ref="A177:A178"/>
    <mergeCell ref="B177:B178"/>
    <mergeCell ref="E177:E178"/>
    <mergeCell ref="F177:F178"/>
    <mergeCell ref="G177:G178"/>
    <mergeCell ref="J177:J178"/>
    <mergeCell ref="H177:H178"/>
    <mergeCell ref="I177:I178"/>
    <mergeCell ref="A183:B183"/>
    <mergeCell ref="A185:G185"/>
    <mergeCell ref="A187:A188"/>
    <mergeCell ref="B187:B188"/>
    <mergeCell ref="E187:E188"/>
    <mergeCell ref="F187:F188"/>
    <mergeCell ref="G187:G188"/>
    <mergeCell ref="K177:K178"/>
    <mergeCell ref="L177:L178"/>
    <mergeCell ref="O201:O202"/>
    <mergeCell ref="P201:P202"/>
    <mergeCell ref="A205:B205"/>
    <mergeCell ref="P187:P188"/>
    <mergeCell ref="A196:B196"/>
    <mergeCell ref="A198:G198"/>
    <mergeCell ref="A201:A202"/>
    <mergeCell ref="B201:B202"/>
    <mergeCell ref="E201:E202"/>
    <mergeCell ref="F201:F202"/>
    <mergeCell ref="G201:G202"/>
    <mergeCell ref="J201:J202"/>
    <mergeCell ref="K201:K202"/>
    <mergeCell ref="J187:J188"/>
    <mergeCell ref="K187:K188"/>
    <mergeCell ref="L187:L188"/>
    <mergeCell ref="M187:M188"/>
    <mergeCell ref="N187:N188"/>
    <mergeCell ref="O187:O188"/>
    <mergeCell ref="A207:G207"/>
    <mergeCell ref="A209:A210"/>
    <mergeCell ref="B209:B210"/>
    <mergeCell ref="E209:E210"/>
    <mergeCell ref="F209:F210"/>
    <mergeCell ref="G209:G210"/>
    <mergeCell ref="L201:L202"/>
    <mergeCell ref="M201:M202"/>
    <mergeCell ref="N201:N202"/>
    <mergeCell ref="P209:P210"/>
    <mergeCell ref="A215:B215"/>
    <mergeCell ref="A216:G216"/>
    <mergeCell ref="A227:G227"/>
    <mergeCell ref="A228:E228"/>
    <mergeCell ref="A229:G229"/>
    <mergeCell ref="J209:J210"/>
    <mergeCell ref="K209:K210"/>
    <mergeCell ref="L209:L210"/>
    <mergeCell ref="M209:M210"/>
    <mergeCell ref="N209:N210"/>
    <mergeCell ref="O209:O210"/>
    <mergeCell ref="A248:B248"/>
    <mergeCell ref="A252:B252"/>
    <mergeCell ref="A256:B256"/>
    <mergeCell ref="A230:A231"/>
    <mergeCell ref="B230:B231"/>
    <mergeCell ref="E230:E231"/>
    <mergeCell ref="F230:F231"/>
    <mergeCell ref="G230:G231"/>
    <mergeCell ref="A234:B234"/>
    <mergeCell ref="A277:B277"/>
    <mergeCell ref="A278:B278"/>
    <mergeCell ref="H31:H32"/>
    <mergeCell ref="I31:I32"/>
    <mergeCell ref="H61:H62"/>
    <mergeCell ref="I61:I62"/>
    <mergeCell ref="H73:H74"/>
    <mergeCell ref="I73:I74"/>
    <mergeCell ref="H87:H88"/>
    <mergeCell ref="I87:I88"/>
    <mergeCell ref="A271:B271"/>
    <mergeCell ref="A272:B272"/>
    <mergeCell ref="A273:B273"/>
    <mergeCell ref="A274:B274"/>
    <mergeCell ref="A275:B275"/>
    <mergeCell ref="A276:B276"/>
    <mergeCell ref="A260:B260"/>
    <mergeCell ref="A264:B264"/>
    <mergeCell ref="A268:B268"/>
    <mergeCell ref="A269:B269"/>
    <mergeCell ref="A270:B270"/>
    <mergeCell ref="A237:B237"/>
    <mergeCell ref="A238:B238"/>
    <mergeCell ref="A241:G241"/>
    <mergeCell ref="H230:H231"/>
    <mergeCell ref="I230:I231"/>
    <mergeCell ref="H5:H6"/>
    <mergeCell ref="I5:I6"/>
    <mergeCell ref="H13:H14"/>
    <mergeCell ref="I13:I14"/>
    <mergeCell ref="H22:H23"/>
    <mergeCell ref="I22:I23"/>
    <mergeCell ref="H187:H188"/>
    <mergeCell ref="I187:I188"/>
    <mergeCell ref="H201:H202"/>
    <mergeCell ref="I201:I202"/>
    <mergeCell ref="H209:H210"/>
    <mergeCell ref="I209:I210"/>
    <mergeCell ref="H122:H123"/>
    <mergeCell ref="I122:I123"/>
    <mergeCell ref="H133:H134"/>
    <mergeCell ref="I133:I134"/>
    <mergeCell ref="H149:H150"/>
    <mergeCell ref="I149:I15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SAŽETAK</vt:lpstr>
      <vt:lpstr>račun prihoda i rashoda-ekonom</vt:lpstr>
      <vt:lpstr>Račun prihoda i rashoda-izvori</vt:lpstr>
      <vt:lpstr>Rashodi prema funkcijskoj kl</vt:lpstr>
      <vt:lpstr>Račun financiranja</vt:lpstr>
      <vt:lpstr>POSEBNI DIO</vt:lpstr>
      <vt:lpstr>KONTROLNA TABLICA</vt:lpstr>
      <vt:lpstr>'POSEBNI DIO'!Ispis_naslova</vt:lpstr>
      <vt:lpstr>'račun prihoda i rashoda-ekonom'!Ispis_naslova</vt:lpstr>
      <vt:lpstr>'Račun prihoda i rashoda-izvori'!Ispis_naslova</vt:lpstr>
      <vt:lpstr>'KONTROLNA TABLICA'!Podrucje_ispisa</vt:lpstr>
      <vt:lpstr>'POSEBNI DIO'!Podrucje_ispisa</vt:lpstr>
      <vt:lpstr>'račun prihoda i rashoda-ekonom'!Podrucje_ispisa</vt:lpstr>
      <vt:lpstr>'Račun prihoda i rashoda-izvori'!Podrucje_ispisa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Katarina Uremović</cp:lastModifiedBy>
  <cp:lastPrinted>2026-07-27T08:09:12Z</cp:lastPrinted>
  <dcterms:created xsi:type="dcterms:W3CDTF">2022-08-12T12:51:27Z</dcterms:created>
  <dcterms:modified xsi:type="dcterms:W3CDTF">2026-08-10T12:10:45Z</dcterms:modified>
</cp:coreProperties>
</file>